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30" windowHeight="10050" activeTab="0"/>
  </bookViews>
  <sheets>
    <sheet name="Règles légales" sheetId="1" r:id="rId1"/>
    <sheet name="Notice" sheetId="2" r:id="rId2"/>
    <sheet name="Simulation" sheetId="3" r:id="rId3"/>
    <sheet name="Calculs" sheetId="4" state="hidden" r:id="rId4"/>
    <sheet name="Parametres" sheetId="5" state="hidden" r:id="rId5"/>
  </sheets>
  <definedNames>
    <definedName name="A_copier">'Simulation'!$A$1:$H$20</definedName>
    <definedName name="Age_31_12_2003">'Calculs'!$C$36</definedName>
    <definedName name="Age_limite_decote">'Calculs'!$C$68</definedName>
    <definedName name="age_min_surcote">'Calculs'!$C$71</definedName>
    <definedName name="Age_mini_debut">'Calculs'!$C$37</definedName>
    <definedName name="Age_Ouverture_Droit">'Calculs'!$C$44</definedName>
    <definedName name="Age_Ouverture_Droit_Bis">'Calculs'!$C$59</definedName>
    <definedName name="An_Min_OD">'Calculs'!$C$50</definedName>
    <definedName name="an_naissance">'Calculs'!$C$14</definedName>
    <definedName name="annees_tot_FP">'Calculs'!$C$20</definedName>
    <definedName name="annes_TP">'Calculs'!$C$21</definedName>
    <definedName name="ans_bonif_diverses">'Calculs'!$C$23</definedName>
    <definedName name="Ans_bonif_enfants">'Calculs'!$C$86</definedName>
    <definedName name="Bonif_5eme_Policier">'Calculs'!$C$81</definedName>
    <definedName name="Bonif_Depaysement">'Calculs'!$C$84</definedName>
    <definedName name="Borne_Date_Simulateur">'Calculs'!$C$3</definedName>
    <definedName name="C_Cot_Primes">'Parametres'!$C$7</definedName>
    <definedName name="C_Cot_Retraite">'Parametres'!$C$6</definedName>
    <definedName name="C_Cot_Taitement">'Parametres'!$C$5</definedName>
    <definedName name="Depasse_age_limite">'Calculs'!$C$173</definedName>
    <definedName name="Duree_AR">'Calculs'!$C$24</definedName>
    <definedName name="Enregistrer_sous">'Simulation'!#REF!</definedName>
    <definedName name="Erreur_date_depart">'Calculs'!$C$184</definedName>
    <definedName name="Erreur_moins15ans">'Calculs'!$C$186</definedName>
    <definedName name="Existe_erreur">'Calculs'!$C$188</definedName>
    <definedName name="Explication_des_calculs">'Calculs'!$A$203:$F$229</definedName>
    <definedName name="Explique_Taux">'Calculs'!$C$199</definedName>
    <definedName name="Femme_3enf_15_ans">'Calculs'!#REF!</definedName>
    <definedName name="Grande_plage_age">'Calculs'!$C$171</definedName>
    <definedName name="Indice_liquidation">'Calculs'!$C$19</definedName>
    <definedName name="info_catégorie">'Simulation'!$H$9</definedName>
    <definedName name="L_age_atteint">'Calculs'!$100:$100</definedName>
    <definedName name="L_An_Depart">'Calculs'!$99:$99</definedName>
    <definedName name="L_ans_FP">'Calculs'!$152:$152</definedName>
    <definedName name="L_Bonif_5eme_Policier">'Calculs'!$106:$106</definedName>
    <definedName name="L_coef_ajourne">'Calculs'!#REF!</definedName>
    <definedName name="L_coef_anticipe">'Calculs'!#REF!</definedName>
    <definedName name="L_depasse_2004">'Calculs'!$136:$136</definedName>
    <definedName name="L_depasse_age">'Calculs'!$135:$135</definedName>
    <definedName name="L_depasse_TR">'Calculs'!$134:$134</definedName>
    <definedName name="L_incidence_decote">'Calculs'!$129:$129</definedName>
    <definedName name="L_incidence_surcote">'Calculs'!$138:$138</definedName>
    <definedName name="L_intervention_mini">'Calculs'!$156:$156</definedName>
    <definedName name="L_manque_age">'Calculs'!$126:$126</definedName>
    <definedName name="L_manque_TR">'Calculs'!$124:$124</definedName>
    <definedName name="L_min_points1">'Calculs'!$147:$147</definedName>
    <definedName name="L_mini_15_ans">'Calculs'!$145:$145</definedName>
    <definedName name="L_mini_duree_bonif">'Calculs'!$151:$151</definedName>
    <definedName name="L_mini_duree_inter">'Calculs'!$148:$148</definedName>
    <definedName name="L_mini_indice">'Calculs'!$146:$146</definedName>
    <definedName name="L_mini_montant">'Calculs'!$155:$155</definedName>
    <definedName name="L_mini_P_duree_bonif">'Calculs'!$150:$150</definedName>
    <definedName name="L_mini_points2">'Calculs'!$149:$149</definedName>
    <definedName name="L_mini_prorata">'Calculs'!$154:$154</definedName>
    <definedName name="L_Nb_trim_decote">'Calculs'!$128:$128</definedName>
    <definedName name="L_Nb_trim_surcote">'Calculs'!$137:$137</definedName>
    <definedName name="L_P_brute_decote">'Calculs'!$141:$141</definedName>
    <definedName name="L_P_brute_mini">'Calculs'!$161:$161</definedName>
    <definedName name="L_P_brute_prorat">'Calculs'!$114:$114</definedName>
    <definedName name="L_P_nette">'Calculs'!$164:$164</definedName>
    <definedName name="L_plaf_trim_decote">'Calculs'!#REF!</definedName>
    <definedName name="L_S_net">'Calculs'!#REF!</definedName>
    <definedName name="L_Taux_A_Liquidation">'Calculs'!$111:$111</definedName>
    <definedName name="L_taux_liquidation">'Calculs'!$162:$162</definedName>
    <definedName name="L_Trim_75_80">'Calculs'!$110:$110</definedName>
    <definedName name="L_Trim_FP_Plaf">'Calculs'!$108:$108</definedName>
    <definedName name="L_Trim_majo_FPH">'Calculs'!$118:$118</definedName>
    <definedName name="L_Trim_mino_TP">'Calculs'!$105:$105</definedName>
    <definedName name="L_Trim_nouveaux">'Calculs'!$101:$101</definedName>
    <definedName name="L_Trim_services_effectifs">'Calculs'!$103:$103</definedName>
    <definedName name="L_Trim_TR">'Calculs'!$121:$121</definedName>
    <definedName name="L_trim_TR_surcote">'Calculs'!$133:$133</definedName>
    <definedName name="Ligne_Nom_du_cas">'Calculs'!#REF!</definedName>
    <definedName name="Limite_Age">'Calculs'!$C$45</definedName>
    <definedName name="Liste_mois">'Parametres'!$A$70:$A$81</definedName>
    <definedName name="Liste_taux_temps_partiel">'Parametres'!$A$94:$A$98</definedName>
    <definedName name="Max_Taux_apparent">'Calculs'!$C$163</definedName>
    <definedName name="Max_Taux_primaire">'Calculs'!$C$112</definedName>
    <definedName name="Max_Trim_decote">'Parametres'!$C$8</definedName>
    <definedName name="Message__SM">'Calculs'!$C$29</definedName>
    <definedName name="Message_divers">'Calculs'!$C$198</definedName>
    <definedName name="Message_saisie_manquante">'Calculs'!$C$31</definedName>
    <definedName name="Message_sur_durees">'Calculs'!$C$30</definedName>
    <definedName name="Mini_15_ans">'Parametres'!$B$35</definedName>
    <definedName name="Mini_duree_bonif">'Parametres'!$G$35</definedName>
    <definedName name="Mini_duree_inter">'Parametres'!$E$35</definedName>
    <definedName name="Mini_indice">'Parametres'!$C$35</definedName>
    <definedName name="Mini_points_2">'Parametres'!$F$35</definedName>
    <definedName name="Mini_points1">'Parametres'!$D$35</definedName>
    <definedName name="Minoration_TP">'Calculs'!$C$77</definedName>
    <definedName name="Moins_15ans_RG">'Calculs'!#REF!</definedName>
    <definedName name="mois_debut_activite">'Calculs'!#REF!</definedName>
    <definedName name="Mois_naissance">'Calculs'!$C$15</definedName>
    <definedName name="mois_texte">'Calculs'!$C$39</definedName>
    <definedName name="Nb_Max_Trim_sup">'Calculs'!$C$47</definedName>
    <definedName name="Nbre_Enfants">'Calculs'!$C$17</definedName>
    <definedName name="Nbre_Trim_Max">'Calculs'!$C$64</definedName>
    <definedName name="Nombre_annuites_cible">'Calculs'!$C$59</definedName>
    <definedName name="Num_cas">'Simulation'!#REF!</definedName>
    <definedName name="Num_Choix_Cas">'Calculs'!$C$18</definedName>
    <definedName name="Num_Taux_TP">'Calculs'!$C$22</definedName>
    <definedName name="Pension_nette_mensuelle">'Calculs'!$165:$165</definedName>
    <definedName name="Plafond_decote_ans">'Calculs'!$C$61</definedName>
    <definedName name="Primes_aides_soignantes">'Calculs'!$C$169</definedName>
    <definedName name="Rang_an_surcote">'Calculs'!$C$139</definedName>
    <definedName name="Saisie_age_1_1_2004">'Simulation'!#REF!</definedName>
    <definedName name="Saisie_annees_bonif">'Simulation'!$C$15</definedName>
    <definedName name="saisie_annees_tot_FP">'Simulation'!$C$12</definedName>
    <definedName name="Saisie_annees_TP">'Simulation'!$C$13</definedName>
    <definedName name="Saisie_annuites_AR">'Simulation'!$C$16</definedName>
    <definedName name="Saisie_Choix_Cas">'Simulation'!$F$5</definedName>
    <definedName name="Saisie_enfants">'Simulation'!$C$4</definedName>
    <definedName name="Saisie_Indice">'Simulation'!$C$10</definedName>
    <definedName name="Saisie_naissance_annee">'Simulation'!$E$3</definedName>
    <definedName name="Saisie_naissance_mois">'Simulation'!$D$5</definedName>
    <definedName name="Saisie_num_taux_TP">'Simulation'!$H$5</definedName>
    <definedName name="Saisie_sexe">'Simulation'!$B$5</definedName>
    <definedName name="Service_actif_FPH">'Calculs'!$C$46</definedName>
    <definedName name="Sexe_1_2">'Calculs'!$C$16</definedName>
    <definedName name="Table_Choix_cas">'Parametres'!$A$86:$G$91</definedName>
    <definedName name="Table_Minimum">'Parametres'!$A$36:$G$63</definedName>
    <definedName name="Table_nombre_annuites">'Parametres'!$A$15:$E$31</definedName>
    <definedName name="Table_Resultats">'Calculs'!$C$191:$H$196</definedName>
    <definedName name="Taux_decote">'Calculs'!$C$60</definedName>
    <definedName name="Taux_decote_trim">'Calculs'!$C$66</definedName>
    <definedName name="Taux_Maj_3E">'Calculs'!$C$93</definedName>
    <definedName name="taux_surcote">'Calculs'!$C$70</definedName>
    <definedName name="Taux_TP">'Calculs'!$C$74</definedName>
    <definedName name="Texte_E_date_depart">'Calculs'!$C$185</definedName>
    <definedName name="Texte_E_Moins15ans">'Calculs'!$C$187</definedName>
    <definedName name="texte_si_partez_en">'Calculs'!$C$40</definedName>
    <definedName name="Traitement_reference">'Calculs'!$C$95</definedName>
    <definedName name="Traitement_reference_net">'Calculs'!$C$96</definedName>
    <definedName name="Trim_baisse_age_decote">'Calculs'!$C$62</definedName>
    <definedName name="Valeur_Point">'Parametres'!$C$3</definedName>
    <definedName name="Z_Noms_Input">'Calculs'!#REF!</definedName>
    <definedName name="Z_Val_Cas">'Calculs'!#REF!</definedName>
    <definedName name="_xlnm.Print_Area" localSheetId="1">'Notice'!$B$1:$I$34</definedName>
    <definedName name="_xlnm.Print_Area" localSheetId="2">'Simulation'!$A$1:$H$61</definedName>
  </definedNames>
  <calcPr fullCalcOnLoad="1"/>
</workbook>
</file>

<file path=xl/comments4.xml><?xml version="1.0" encoding="utf-8"?>
<comments xmlns="http://schemas.openxmlformats.org/spreadsheetml/2006/main">
  <authors>
    <author>Lagarde</author>
  </authors>
  <commentList>
    <comment ref="C99" authorId="0">
      <text>
        <r>
          <rPr>
            <b/>
            <sz val="8"/>
            <rFont val="Tahoma"/>
            <family val="0"/>
          </rPr>
          <t>Lagarde:</t>
        </r>
        <r>
          <rPr>
            <sz val="8"/>
            <rFont val="Tahoma"/>
            <family val="0"/>
          </rPr>
          <t xml:space="preserve">
Attention cette ligne a un calcul spécial
</t>
        </r>
      </text>
    </comment>
  </commentList>
</comments>
</file>

<file path=xl/sharedStrings.xml><?xml version="1.0" encoding="utf-8"?>
<sst xmlns="http://schemas.openxmlformats.org/spreadsheetml/2006/main" count="420" uniqueCount="374">
  <si>
    <t>Explication de taux de liquidation &gt;75%, taux brut</t>
  </si>
  <si>
    <t>Taux apparant  de liquidation</t>
  </si>
  <si>
    <t>Explication de taux de liquidation &gt;75%, surcote</t>
  </si>
  <si>
    <t>Explication de taux de liquidation &gt;75%, minimum</t>
  </si>
  <si>
    <t>Synthèse</t>
  </si>
  <si>
    <t>Explique_Taux</t>
  </si>
  <si>
    <t xml:space="preserve"> =IF(Erreur_moins15ans,"Les courtes durées dans la fonction publique (&lt;15 ans) ne sont pas traitées","")</t>
  </si>
  <si>
    <t>textes sur fond rose clair : calcul de message d'erreur oud'avertissement</t>
  </si>
  <si>
    <t>message aide à la saisie</t>
  </si>
  <si>
    <t>Message_saisie_manquante</t>
  </si>
  <si>
    <t>Message_ SM</t>
  </si>
  <si>
    <t>Choisissez la catégorie la plus proche de votre situation en fonction de l'âge minimum de départ à la retraite possible</t>
  </si>
  <si>
    <t>départ à la retraite possible  :</t>
  </si>
  <si>
    <t>Votre situation professionnelle actuelle</t>
  </si>
  <si>
    <t xml:space="preserve">Votre indice majoré : </t>
  </si>
  <si>
    <t>Texte dépassement âge limite, aide soignantes</t>
  </si>
  <si>
    <t>Les années d'école normale à partir de 18 ans font partie des années de service; les avez-vous bien comptées ?</t>
  </si>
  <si>
    <t xml:space="preserve">Plafond de la durée de bonification prise en compte </t>
  </si>
  <si>
    <t>Plafonds prise en compte bonifications</t>
  </si>
  <si>
    <t>Mini_duree_bonif</t>
  </si>
  <si>
    <t>L_mini_duree_bonif</t>
  </si>
  <si>
    <t>L_mini_P_duree_bonif</t>
  </si>
  <si>
    <t>Bonifications prises en compte trimestres</t>
  </si>
  <si>
    <t xml:space="preserve">Dont années passées à temps partiel : </t>
  </si>
  <si>
    <r>
      <t>Le nombre d’annuités cumulées dans un autre régime au 1</t>
    </r>
    <r>
      <rPr>
        <b/>
        <vertAlign val="superscript"/>
        <sz val="10"/>
        <rFont val="Arial"/>
        <family val="2"/>
      </rPr>
      <t>er</t>
    </r>
    <r>
      <rPr>
        <b/>
        <sz val="10"/>
        <rFont val="Arial"/>
        <family val="2"/>
      </rPr>
      <t xml:space="preserve"> janvier 2004</t>
    </r>
  </si>
  <si>
    <t>Ci dessous on regroupe les divers intitulés créés au cours du calcul</t>
  </si>
  <si>
    <t>Texte âge limite plus de 5 ans après age OD</t>
  </si>
  <si>
    <t>Grande_plage_age</t>
  </si>
  <si>
    <t>Priorité au texte aides soignantes sur textes  âge limite</t>
  </si>
  <si>
    <t>Age_mini_debut</t>
  </si>
  <si>
    <t>utiliser des décimales pour les fractions d'année : 1 trimestre =0,25 an, 2 trimestres=0,5 an, trois trimestres =0,75 an</t>
  </si>
  <si>
    <t>dès 60 ans (sédentaire)</t>
  </si>
  <si>
    <t>dès 55 ans (service actif 15 ans minimum) hors fonction publique hospitalière</t>
  </si>
  <si>
    <t>dès 55 ans (service actif 15 ans minimum) dans la fonction publique hospitalière</t>
  </si>
  <si>
    <t>dès 50 ans (police, pénitentiaire..)</t>
  </si>
  <si>
    <t>Plafond de la décote</t>
  </si>
  <si>
    <t>Taux de la décote</t>
  </si>
  <si>
    <t>Pension brute proratisée</t>
  </si>
  <si>
    <t>Limite d'âge</t>
  </si>
  <si>
    <t>Trimestres manquants (limite d'âge)</t>
  </si>
  <si>
    <t>année d'ouverture du droit</t>
  </si>
  <si>
    <t>Age d'ouverture</t>
  </si>
  <si>
    <t>Nombre d'annuités</t>
  </si>
  <si>
    <t>pension minimum</t>
  </si>
  <si>
    <t>Pension brute après décote ou surcote</t>
  </si>
  <si>
    <t>CAS_Principaux</t>
  </si>
  <si>
    <t>Représentant</t>
  </si>
  <si>
    <t>professeur certifié</t>
  </si>
  <si>
    <t>infirmière</t>
  </si>
  <si>
    <t>policier</t>
  </si>
  <si>
    <t>Age_Ouverture_Droit</t>
  </si>
  <si>
    <t>Limite_Age</t>
  </si>
  <si>
    <t>Indice_liquidation</t>
  </si>
  <si>
    <t>Taux_decote</t>
  </si>
  <si>
    <t>Plafond_decote_ans</t>
  </si>
  <si>
    <t>Nombre_annuites_cible</t>
  </si>
  <si>
    <t>taux_surcote</t>
  </si>
  <si>
    <t>Traitement_reference</t>
  </si>
  <si>
    <t>Age_limite_decote</t>
  </si>
  <si>
    <t>Décote</t>
  </si>
  <si>
    <t>Pour les pensions liquidées en :</t>
  </si>
  <si>
    <t>lorsque la pension rémunère quinze années de services effectifs, son montant ne peut être inférieur à :</t>
  </si>
  <si>
    <t>par année supplémentaire de services effectifs de quinze à :</t>
  </si>
  <si>
    <t>cette fraction étant augmentée de x points :</t>
  </si>
  <si>
    <t>et, par année supplémentaire au-delà de cette dernière durée jusqu’à quarante années, de x points :</t>
  </si>
  <si>
    <t>Prorata du Minimum</t>
  </si>
  <si>
    <t>Duréee Service</t>
  </si>
  <si>
    <t>an_naissance</t>
  </si>
  <si>
    <t xml:space="preserve">à </t>
  </si>
  <si>
    <t>trimestres dépassant la durée cible</t>
  </si>
  <si>
    <t>trimestres au delà de 2004</t>
  </si>
  <si>
    <t>surcote</t>
  </si>
  <si>
    <t>du montant correspondant à la valeur, au 1er janvier 2004, de l’indice majoré :</t>
  </si>
  <si>
    <t>Age minimum d'ouverture de droit</t>
  </si>
  <si>
    <t>An_Min_OD</t>
  </si>
  <si>
    <t>Age atteint</t>
  </si>
  <si>
    <t>Trimestres Tous régimes</t>
  </si>
  <si>
    <t>Mois naissance</t>
  </si>
  <si>
    <t>Janvier</t>
  </si>
  <si>
    <t>Février</t>
  </si>
  <si>
    <t>Mars</t>
  </si>
  <si>
    <t>Avril</t>
  </si>
  <si>
    <t>Mai</t>
  </si>
  <si>
    <t>Juin</t>
  </si>
  <si>
    <t>Juillet</t>
  </si>
  <si>
    <t>Août</t>
  </si>
  <si>
    <t>Septembre</t>
  </si>
  <si>
    <t>Octobre</t>
  </si>
  <si>
    <t>Novembre</t>
  </si>
  <si>
    <t>Décembre</t>
  </si>
  <si>
    <t>Mois</t>
  </si>
  <si>
    <t>mois_naissance</t>
  </si>
  <si>
    <t>Nombre trimestres décote</t>
  </si>
  <si>
    <t>Calcul Minimum</t>
  </si>
  <si>
    <t>Pension nette</t>
  </si>
  <si>
    <t xml:space="preserve"> </t>
  </si>
  <si>
    <t>L_An_Depart</t>
  </si>
  <si>
    <t>L_Trim_TR</t>
  </si>
  <si>
    <t>Pour simulateur Réforme retraite Fonction publique</t>
  </si>
  <si>
    <t>Service_actif_FPH</t>
  </si>
  <si>
    <t>Le taux de liquidation de votre pension sera :</t>
  </si>
  <si>
    <t>Année de naissance :</t>
  </si>
  <si>
    <t>CALCULS</t>
  </si>
  <si>
    <t>Nbre_Enfants</t>
  </si>
  <si>
    <t>Nombre d'annuités pour taux plein</t>
  </si>
  <si>
    <t xml:space="preserve">La décote s'annule à (ans) </t>
  </si>
  <si>
    <t>Plafond de la décote (maximum nombre ans)</t>
  </si>
  <si>
    <t>taux surcote (par annuité)</t>
  </si>
  <si>
    <t>Taux Décote(par annuité manquante)</t>
  </si>
  <si>
    <t>lorsque la pension rémunère 15 ans de services effectifs, son montant ne peut être inférieur à :</t>
  </si>
  <si>
    <t>par année supp.de services effectifs de 15 à :</t>
  </si>
  <si>
    <t xml:space="preserve"> par an supp. au-delà et jusqu’à 40 années, de x points :</t>
  </si>
  <si>
    <t>Majoration de durée FPH service actif</t>
  </si>
  <si>
    <t>Nombre Trimestres pour taux plein</t>
  </si>
  <si>
    <t>Nbre_Trim_Max</t>
  </si>
  <si>
    <t>Trimestres validés Fonction Publique Plafonnés</t>
  </si>
  <si>
    <t>Trimestres pour décote surcote</t>
  </si>
  <si>
    <t>Mini_15_ans</t>
  </si>
  <si>
    <t>Mini_indice</t>
  </si>
  <si>
    <t>Mini_points1</t>
  </si>
  <si>
    <t>Mini_duree_inter</t>
  </si>
  <si>
    <t>Mini_points_2</t>
  </si>
  <si>
    <t>Attention les tables doivent commencer en colonne A</t>
  </si>
  <si>
    <t xml:space="preserve"> catégorie exemple</t>
  </si>
  <si>
    <t>Exemples examinés</t>
  </si>
  <si>
    <t>Pension brute non proratisée</t>
  </si>
  <si>
    <t>Num_Choix_Cas</t>
  </si>
  <si>
    <t xml:space="preserve">mois : </t>
  </si>
  <si>
    <t>Age avec décimales au 31/12/2003</t>
  </si>
  <si>
    <t>Age_31_12_2003</t>
  </si>
  <si>
    <t>Indice de liquidation</t>
  </si>
  <si>
    <t>Mois en literal</t>
  </si>
  <si>
    <t>mois_texte</t>
  </si>
  <si>
    <t>texte_si_partez_en</t>
  </si>
  <si>
    <t>Durées autres régimes</t>
  </si>
  <si>
    <t>Duree_AR</t>
  </si>
  <si>
    <t>Erreur_date_depart</t>
  </si>
  <si>
    <t>Existe_erreur</t>
  </si>
  <si>
    <t>Données issue feuille interface</t>
  </si>
  <si>
    <t>Tableau de synthèse pour renvoi à l'interface</t>
  </si>
  <si>
    <t>La plage ci-dessous encadrée par un double trait s'appelle 'TableResultats'</t>
  </si>
  <si>
    <t>Ci-dessous, données utilisées pour les résultats affichés dansl'interface</t>
  </si>
  <si>
    <t>Attention les tables doivent commencer en colonne A / NE PAS INSERER DE COLONNE A GAUCHE DE LA TABLE</t>
  </si>
  <si>
    <t>assistant</t>
  </si>
  <si>
    <t>par defaut</t>
  </si>
  <si>
    <t>Les tables de paramètres figurent dans la feuille Parametres</t>
  </si>
  <si>
    <t>Intitulé en clair de la variable en colonne A</t>
  </si>
  <si>
    <t>noms de variable en colonne B</t>
  </si>
  <si>
    <t>formule de calcul en colonne D</t>
  </si>
  <si>
    <t>sélectionner une partie de la colonne B</t>
  </si>
  <si>
    <t>activer la macro ListeFormules</t>
  </si>
  <si>
    <t xml:space="preserve">Pour rafraîchir :  effacer d'abord les formules </t>
  </si>
  <si>
    <t>L_age_atteint</t>
  </si>
  <si>
    <t>L_P_brute_prorat</t>
  </si>
  <si>
    <t>L_Trim_majo_FPH</t>
  </si>
  <si>
    <t>L_Trim_services_effectifs</t>
  </si>
  <si>
    <t>L_manque_age</t>
  </si>
  <si>
    <t>Trimestres manquants (durée tous régimes)</t>
  </si>
  <si>
    <t>L_manque_TR</t>
  </si>
  <si>
    <t>L_Nb_trim_decote</t>
  </si>
  <si>
    <t>Taux Décote par Trimestre manquant)</t>
  </si>
  <si>
    <t>Taux_decote_trim</t>
  </si>
  <si>
    <t>L_depasse_TR</t>
  </si>
  <si>
    <t>L_depasse_age</t>
  </si>
  <si>
    <t>L_depasse_2004</t>
  </si>
  <si>
    <t>L_Nb_trim_surcote</t>
  </si>
  <si>
    <t>L_P_brute_decote</t>
  </si>
  <si>
    <t>L_mini_15_ans</t>
  </si>
  <si>
    <t>L_mini_indice</t>
  </si>
  <si>
    <t>L_min_points1</t>
  </si>
  <si>
    <t>L_mini_duree_inter</t>
  </si>
  <si>
    <t>L_mini_points2</t>
  </si>
  <si>
    <t>L_ans_FP</t>
  </si>
  <si>
    <t>L_mini_prorata</t>
  </si>
  <si>
    <t>L_P_brute_mini</t>
  </si>
  <si>
    <t>L_mini_montant</t>
  </si>
  <si>
    <t>L_taux_liquidation</t>
  </si>
  <si>
    <t>L_P_nette</t>
  </si>
  <si>
    <t>Texte_E_date_depart</t>
  </si>
  <si>
    <t>Valeur_Point</t>
  </si>
  <si>
    <t>age_min_surcote</t>
  </si>
  <si>
    <t>trimestres dépassant l'âge minimum de surcote</t>
  </si>
  <si>
    <t>Traitement de référence brut</t>
  </si>
  <si>
    <t>Traitement de référence net</t>
  </si>
  <si>
    <t>attention ligne à calcul spécial</t>
  </si>
  <si>
    <t xml:space="preserve">Nombre d'enfants </t>
  </si>
  <si>
    <t>Bonifications (du cinquième, de dépaysement …) acquises au 1er janvier 2004</t>
  </si>
  <si>
    <t xml:space="preserve">Le nombre d’années passées dans la fonction publique au 1er janvier 2004 </t>
  </si>
  <si>
    <t>Service actif  fonction publique hospitalière</t>
  </si>
  <si>
    <t>annees_tot_FP</t>
  </si>
  <si>
    <t>annes_TP</t>
  </si>
  <si>
    <t>Sexe</t>
  </si>
  <si>
    <t>Sexe_1_2</t>
  </si>
  <si>
    <t>Ans_bonif_enfants</t>
  </si>
  <si>
    <t>Années bonification durée enfants à charges</t>
  </si>
  <si>
    <t xml:space="preserve">Bonif diverses </t>
  </si>
  <si>
    <t>ans_bonif_diveres</t>
  </si>
  <si>
    <t>dont années passées  à temps partiel</t>
  </si>
  <si>
    <t>Correction durées services / prise en compte TP</t>
  </si>
  <si>
    <t>taux majoration 3 enfants ou plus</t>
  </si>
  <si>
    <t>Taux_Maj_3E</t>
  </si>
  <si>
    <t>Pension Brute yc minimum et majo 3 enfants</t>
  </si>
  <si>
    <t>POUR INFO</t>
  </si>
  <si>
    <t>Eléments de barême dépendant de la date minimum de départ</t>
  </si>
  <si>
    <t xml:space="preserve">durée proratisation FP à An_Min_OD </t>
  </si>
  <si>
    <t>C_Cot_Taitement</t>
  </si>
  <si>
    <t>C_Cot_Retraite</t>
  </si>
  <si>
    <t>dépend du taux global de cotiation:</t>
  </si>
  <si>
    <t>Coefficients pour passer net au brut</t>
  </si>
  <si>
    <t xml:space="preserve"> Traitement</t>
  </si>
  <si>
    <t>Retraite</t>
  </si>
  <si>
    <t>Age au delà duquel s'applique la surcote</t>
  </si>
  <si>
    <t>Pension nette mensuelle</t>
  </si>
  <si>
    <t>Pension_nette_mensuelle</t>
  </si>
  <si>
    <t>Soit une pensions mensuelle nette d'environ :</t>
  </si>
  <si>
    <t>Soit une pension nette mensuelle d'environ (en euros)</t>
  </si>
  <si>
    <t>Majo 10 % FPH</t>
  </si>
  <si>
    <t>conversion Taux/ an à Taux / trimestre</t>
  </si>
  <si>
    <t>la réglementation fournit un duréee au delà de l'age minimum où s'annule la décote on endéduit l'âge correspondant</t>
  </si>
  <si>
    <t>Présentation du cas</t>
  </si>
  <si>
    <t>par défaut</t>
  </si>
  <si>
    <t>Choix du cas age d'ouverure de droit et FPH</t>
  </si>
  <si>
    <t>La simulation démarre quand on atteint l'âge limite d'ouverture de droit</t>
  </si>
  <si>
    <t xml:space="preserve"> =OR(An_Min_OD&lt;2004,An_Min_OD&gt;2020)</t>
  </si>
  <si>
    <t>départ possible de (Date de début simulation)</t>
  </si>
  <si>
    <t>paramètres dépendant de la catégorie choisie</t>
  </si>
  <si>
    <t>à quel taux ? :</t>
  </si>
  <si>
    <t>Liste des taux possibles de temps partiel</t>
  </si>
  <si>
    <t>Num_Taux_TP</t>
  </si>
  <si>
    <t>Taux_TP</t>
  </si>
  <si>
    <t>Transformation du numéro de  taux choisi en %</t>
  </si>
  <si>
    <t>Minoration_TP</t>
  </si>
  <si>
    <t>Vous pouvez demander votre relevé de carrière à la CNAV par internet, site www.retraite.cnav.fr "la retraite de base des salariés", choix : "la préparer" puis "relevé de carrière"</t>
  </si>
  <si>
    <t>Nb_Max_Trim_sup</t>
  </si>
  <si>
    <t>Nombre limite trimestres supplémentaires au delà âge limite si ???</t>
  </si>
  <si>
    <t>L_Taux_A_Liquidation</t>
  </si>
  <si>
    <t>Numéro taux_temps partiel temps partiel</t>
  </si>
  <si>
    <t>Texte dépassement âge limite</t>
  </si>
  <si>
    <t>Depasse_age_limite</t>
  </si>
  <si>
    <t>attention case non vide</t>
  </si>
  <si>
    <t>Saisie_num_taux_TP</t>
  </si>
  <si>
    <t>Budget 26/05/2003 : La majoration du 10ème pour les personnels de la FPH ayant effectué 15 années de service actif ne devrait pas entrer en compte dans le calcul de la surcote (article 55 du projet de loi soumis à l’assemblée général du Conseil d’Etat).</t>
  </si>
  <si>
    <t>Trimestres servant à la surcote</t>
  </si>
  <si>
    <t xml:space="preserve">Budget 26/5/2003 : Majoration pour enfants :limiter le taux de majoration appliquée afin de ne jamais pouvoir excéder le montant des émoluments de base (Article L.18-V) </t>
  </si>
  <si>
    <t>Incidence décote</t>
  </si>
  <si>
    <t>L_incidence_decote</t>
  </si>
  <si>
    <t>Incidence surcote</t>
  </si>
  <si>
    <t>L_incidence_surcote</t>
  </si>
  <si>
    <t>L_intervention_mini</t>
  </si>
  <si>
    <t>Indicateur intervention mini</t>
  </si>
  <si>
    <t>Incidence minoration pour durée non atteinte</t>
  </si>
  <si>
    <t>Incidence majoration pour ajournement</t>
  </si>
  <si>
    <t>Intervention du minimum de pension</t>
  </si>
  <si>
    <t>Texte_E_Moins15ans</t>
  </si>
  <si>
    <t>Erreur_moins15ans</t>
  </si>
  <si>
    <t xml:space="preserve"> =OR(Erreur_date_depart,Erreur_moins15ans)</t>
  </si>
  <si>
    <t>Deux paramêtres pour surcôte , appliquable dés 2004 sans autres  déterminants</t>
  </si>
  <si>
    <t>On va chercher dans une table les valeurs dépendant de l'année où l'on atteint l'age minimum d'ouvertuire de droit</t>
  </si>
  <si>
    <t>conversion annuités taux plein en trimestres</t>
  </si>
  <si>
    <t>Le calculateur ne fournit des résultats que si la date où l'on atteint l'âge minimum de départ est de :</t>
  </si>
  <si>
    <t>Borne_Date_Simulateur</t>
  </si>
  <si>
    <t>Informations complémentaires</t>
  </si>
  <si>
    <t>Bonif_5eme_Policier</t>
  </si>
  <si>
    <t>Bonif_Depaysement</t>
  </si>
  <si>
    <t>On suppose que la bonif de ceux qui partent à 50 ans ( avant 55 ans plus précisément)  sont des bonif du 5eme (restent dans limite 75%) les autes du depaysement qui peut faire aller à 80%</t>
  </si>
  <si>
    <t>Trim Bonif ne donnant pas lieu à plus de 75%</t>
  </si>
  <si>
    <t>Trim Bonif permettant d'aller à 80%</t>
  </si>
  <si>
    <t>L_Bonif_5eme_Policier</t>
  </si>
  <si>
    <t xml:space="preserve">Bonif cinquième, prolongée </t>
  </si>
  <si>
    <t>L_Trim_mino_TP</t>
  </si>
  <si>
    <t>Durée services effectifs (trim) SANS diminution TP</t>
  </si>
  <si>
    <t>Diminution en trimestres due au TP</t>
  </si>
  <si>
    <t>Durée écoulée depuis le  1/1/2004</t>
  </si>
  <si>
    <t>L_Trim_nouveaux</t>
  </si>
  <si>
    <t>Trimestres pouvant porter au delà de 75%</t>
  </si>
  <si>
    <t>L_Trim_75_80</t>
  </si>
  <si>
    <t>L_Trim_FP_Plaf</t>
  </si>
  <si>
    <t>L_trim_TR_surcote</t>
  </si>
  <si>
    <t>Intitulé en clair du choix fait sur la catégorie :</t>
  </si>
  <si>
    <t>Traitement du temps partiel</t>
  </si>
  <si>
    <t>Traitement des bonifications</t>
  </si>
  <si>
    <t>On a compté les durées de services en années écoulées, on en déduit une minoration due au temps partiel</t>
  </si>
  <si>
    <t>Remarque : on suppose que la fin de carrière est toujours à temps plein</t>
  </si>
  <si>
    <t>Autres bonifs déclarées, hors 1/5ème</t>
  </si>
  <si>
    <t>Décote éventuelle</t>
  </si>
  <si>
    <t>trimestres pris en compte pour surcôte</t>
  </si>
  <si>
    <t>Recherche 1ère année où s'applique la surcote</t>
  </si>
  <si>
    <t>Rang_an_surcote</t>
  </si>
  <si>
    <t xml:space="preserve">    année : </t>
  </si>
  <si>
    <t>Votre date de naissance :</t>
  </si>
  <si>
    <t>Votre situation familiale :</t>
  </si>
  <si>
    <r>
      <t xml:space="preserve">Le taux de liquidation de votre pension sera de                  </t>
    </r>
    <r>
      <rPr>
        <i/>
        <sz val="10"/>
        <rFont val="Arial"/>
        <family val="2"/>
      </rPr>
      <t>(=pension avant prélevement /traitement brut)</t>
    </r>
  </si>
  <si>
    <t xml:space="preserve">Nombre d'enfants : </t>
  </si>
  <si>
    <t>Résultat = numéro (2 à 6) où il y a une surcote; sinon 0</t>
  </si>
  <si>
    <t>Durée prise en compte pour le calcul de la pension avant décote ou surcote</t>
  </si>
  <si>
    <t>Durée de service effectif à l'age minimum d'ouverture de droit :</t>
  </si>
  <si>
    <t>textes sur fond bleu clair, encadré : explications calculées à partir des valeurs.</t>
  </si>
  <si>
    <t>Saisie_Choix_Cas :</t>
  </si>
  <si>
    <t>Saisie_naissance_mois :</t>
  </si>
  <si>
    <t>Saisie_sexe :</t>
  </si>
  <si>
    <t xml:space="preserve"> ATTENTION ne pas inclure les bonifications pour enfant(s) élevé(s), elles sont calculées par le simulateur</t>
  </si>
  <si>
    <t>Texte Aides soignantes</t>
  </si>
  <si>
    <t>Primes_aides_soignantes</t>
  </si>
  <si>
    <t>Message_divers</t>
  </si>
  <si>
    <t xml:space="preserve">Annul décote trim avant age limite </t>
  </si>
  <si>
    <t>Trimestre avant limit age pour annulation décote</t>
  </si>
  <si>
    <t>Trim_baisse_age_decote</t>
  </si>
  <si>
    <t>Instit à prof des écoles</t>
  </si>
  <si>
    <t>Max_Trim_decote</t>
  </si>
  <si>
    <t>Nombe maximum de trimestres pris en compte dans la décote</t>
  </si>
  <si>
    <t>Age mini début activité</t>
  </si>
  <si>
    <t>Test remplissage</t>
  </si>
  <si>
    <t>Message lié à la catégorie pour durée, bonif</t>
  </si>
  <si>
    <t>Indiquer ci-dessous les bonifications du 1/5ème</t>
  </si>
  <si>
    <t>Indiquer ci dessous les bonifications diverses notamment de dépaysement.</t>
  </si>
  <si>
    <t>Message_sur_durees</t>
  </si>
  <si>
    <t xml:space="preserve"> =INDEX(L_Trim_services_effectifs,1,3)&lt;60</t>
  </si>
  <si>
    <t>(figurant sur votre bulletin de paie) ou l'indice estimé de fin de carrière</t>
  </si>
  <si>
    <t>Accéder au simulateur</t>
  </si>
  <si>
    <t xml:space="preserve">dès 55 ans, professeur des écoles ayant été instituteur pendant 15 ans minimum  </t>
  </si>
  <si>
    <t>Explication de taux de liquidation &gt;75%, 3 enfants</t>
  </si>
  <si>
    <t xml:space="preserve"> =IF(Service_actif_FPH,"Pour les aides soignantes, les primes sont susceptible d'être prises en compte pour partie, entraînant une majoration des pensions estimées ci_dessus","")</t>
  </si>
  <si>
    <t xml:space="preserve"> =IF(AND((Limite_Age-Age_Ouverture_Droit)&gt;5, (Primes_aides_soignantes="")),"Le tableau de résultats ne va pas juqu'à la limite d'âge ("&amp;FIXED(Limite_Age,0)&amp;" ans).","")</t>
  </si>
  <si>
    <t xml:space="preserve"> =IF(AND(H108&lt;Nbre_Trim_Max, ((Primes_aides_soignantes&amp;Grande_plage_age)="")),"Si vous le souhaitez, pour vous permettre d'approcher le taux plein de liquidation, vous pourrez prolonger votre activité  au delà de l'âge limite dans la limite de 10 trimestres.","")</t>
  </si>
  <si>
    <t>Taux primaire de liquidation yc bonifs</t>
  </si>
  <si>
    <t>Max_Taux_primaire</t>
  </si>
  <si>
    <t>Max_Taux_apparent</t>
  </si>
  <si>
    <t>Texte dépassement taux</t>
  </si>
  <si>
    <t>Simulateur simplifié de retraite de la Fonction Publique</t>
  </si>
  <si>
    <t>« Pour estimer votre futur niveau de pension »</t>
  </si>
  <si>
    <t>Ce simulateur simplifié, vous propose une estimation du montant de votre retraite, en appliquant les règles exposées dans le projet de loi en débat au Parlement.</t>
  </si>
  <si>
    <t>Les règles définitives dépendront de la loi votée au Parlement</t>
  </si>
  <si>
    <t>Personnes concernées :</t>
  </si>
  <si>
    <t>Cas non traités par ce simulateur :</t>
  </si>
  <si>
    <t xml:space="preserve">Avertissements : </t>
  </si>
  <si>
    <t>Limite d’âge</t>
  </si>
  <si>
    <t>60 ans</t>
  </si>
  <si>
    <t>65 ans</t>
  </si>
  <si>
    <t>dès 55 ans, professeur des écoles ayant été instituteur pendant 15 ans minimum</t>
  </si>
  <si>
    <t>55 ans</t>
  </si>
  <si>
    <t>50 ans</t>
  </si>
  <si>
    <t>Age d’ouverture</t>
  </si>
  <si>
    <t>Les futures entrées en CPA ne sont pas traitées par l’outil</t>
  </si>
  <si>
    <r>
      <t>ü</t>
    </r>
    <r>
      <rPr>
        <sz val="7"/>
        <rFont val="Times New Roman"/>
        <family val="1"/>
      </rPr>
      <t xml:space="preserve">      </t>
    </r>
    <r>
      <rPr>
        <sz val="11"/>
        <rFont val="Times New Roman"/>
        <family val="1"/>
      </rPr>
      <t xml:space="preserve"> </t>
    </r>
  </si>
  <si>
    <t>Attention : les règles concernant les militaires ne sont pas prises en compte par le simulateur.</t>
  </si>
  <si>
    <r>
      <t>Les fonctionnaires ayant atteint leur âge d’ouverture des droits avant le 1</t>
    </r>
    <r>
      <rPr>
        <vertAlign val="superscript"/>
        <sz val="11"/>
        <rFont val="Times New Roman"/>
        <family val="1"/>
      </rPr>
      <t>er</t>
    </r>
    <r>
      <rPr>
        <sz val="11"/>
        <rFont val="Times New Roman"/>
        <family val="1"/>
      </rPr>
      <t xml:space="preserve"> janvier 2004 (ceux-ci se verront appliquer les anciennes règles, s’ils poursuivent leur activité ils pourront éventuellement bénéficier des règles de la surcote).</t>
    </r>
  </si>
  <si>
    <r>
      <t>Les fonctionnaires qui atteindront leur âge d’ouverture des droits après le 1</t>
    </r>
    <r>
      <rPr>
        <vertAlign val="superscript"/>
        <sz val="11"/>
        <rFont val="Times New Roman"/>
        <family val="1"/>
      </rPr>
      <t>er</t>
    </r>
    <r>
      <rPr>
        <sz val="11"/>
        <rFont val="Times New Roman"/>
        <family val="1"/>
      </rPr>
      <t xml:space="preserve"> janvier 2020, certains paramètres de la réforme auront pu évoluer d’ici là.</t>
    </r>
  </si>
  <si>
    <t>Les catégories traitées sont :</t>
  </si>
  <si>
    <t>Autres bonifications : le simulateur les assimilent à des bonifications de dépaysement non prolongées jusqu’à la retraite.</t>
  </si>
  <si>
    <t>Cessation Progressive d’Activité :</t>
  </si>
  <si>
    <t>Le temps partiel est comptabilisé, mais ne porte que sur les années passées. L’outil considère que vous poursuivez votre carrière à temps plein.</t>
  </si>
  <si>
    <t>Le simulateur ne teste pas la cohérence de vos déclarations ( ex : entre durée d’assurance et durée de service)</t>
  </si>
  <si>
    <r>
      <t xml:space="preserve"> </t>
    </r>
    <r>
      <rPr>
        <sz val="11"/>
        <rFont val="Times New Roman"/>
        <family val="1"/>
      </rPr>
      <t>Tous les éléments doivent être renseignés.</t>
    </r>
  </si>
  <si>
    <t>Bonification du 1/5ème : le simulateur suppose que les fonctionnaires qui ont un âge d’ouverture des droits à 50 ans ont des bonifications du 1/5ème.</t>
  </si>
  <si>
    <t xml:space="preserve">WWW.retraites.gouv.fr </t>
  </si>
  <si>
    <t xml:space="preserve">Pour plus d’information consultez le site Internet : </t>
  </si>
  <si>
    <t xml:space="preserve">Renseigner TOUTES          les cases (ou éléments)      sur fond blanc </t>
  </si>
  <si>
    <r>
      <t>Nombre d’années effectuées dans la Fonction publique au 1</t>
    </r>
    <r>
      <rPr>
        <b/>
        <vertAlign val="superscript"/>
        <sz val="10"/>
        <rFont val="Arial"/>
        <family val="2"/>
      </rPr>
      <t>er</t>
    </r>
    <r>
      <rPr>
        <b/>
        <sz val="10"/>
        <rFont val="Arial"/>
        <family val="2"/>
      </rPr>
      <t xml:space="preserve"> janvier 2004  </t>
    </r>
  </si>
  <si>
    <t>Les agents ayant travaillé moins de 15 ans dans la fonction publique, ils dépendent de la CNAV et de l’IRCANTEC.</t>
  </si>
  <si>
    <t>Les bonifications pour enfants ne sont attribuées qu’aux seules femmes (en ce sens l’outil ne prend pas en compte les avancées de la réforme concernant l’extension des avantages familiaux aux hommes).</t>
  </si>
  <si>
    <t xml:space="preserve">Si vous êtes actuellement en CPA, vous n’êtes pas concerné par la réforme. </t>
  </si>
  <si>
    <t>ou appelez nos téléopérateurs au 0825 396 396 (coût de l'appel : 0,15€ /minute à partir d'un poste fixe)</t>
  </si>
  <si>
    <t>Votre carrière est supposée se terminer à temps plein.</t>
  </si>
  <si>
    <t>ou un début plus précoce en cas d'interruption.</t>
  </si>
  <si>
    <t>Tous les fonctionnaires de l’Etat, des Collectivités Territoriales, et des Etablissements Hospitaliers dont le départ à la retraite s’effectuera à compter du 1er janvier 2004.</t>
  </si>
  <si>
    <t>Le simulateur ne teste pas la cohérence de vos déclarations.</t>
  </si>
  <si>
    <t>Surcote</t>
  </si>
  <si>
    <r>
      <t xml:space="preserve">Calcul identique sur chaque ligne (sauf L_An_Depart) pour les diverses colonnes; on ne cite donc que le nom de la ligne en cause et non des noms de cellules, mais Attention avec </t>
    </r>
    <r>
      <rPr>
        <b/>
        <u val="single"/>
        <sz val="10"/>
        <color indexed="9"/>
        <rFont val="Arial"/>
        <family val="2"/>
      </rPr>
      <t>Min et Max</t>
    </r>
    <r>
      <rPr>
        <b/>
        <sz val="10"/>
        <color indexed="9"/>
        <rFont val="Arial"/>
        <family val="2"/>
      </rPr>
      <t xml:space="preserve">, ne jamais inclure un nom de ligne </t>
    </r>
    <r>
      <rPr>
        <b/>
        <u val="single"/>
        <sz val="10"/>
        <color indexed="9"/>
        <rFont val="Arial"/>
        <family val="2"/>
      </rPr>
      <t>sans</t>
    </r>
    <r>
      <rPr>
        <b/>
        <sz val="10"/>
        <color indexed="9"/>
        <rFont val="Arial"/>
        <family val="2"/>
      </rPr>
      <t xml:space="preserve"> calcul : écrire MIN(1*L_manque_age;1*L_manque_TR;Plafond_decote_ans*4) et non :MIN(L_manque_age;L_manque_TR;Plafond_decote_ans*4) dans ce dernier cas on recherche le minimum de toute la ligne et non de la case corespondant à la colonne courante</t>
    </r>
  </si>
  <si>
    <r>
      <t>du montant correspondant à la valeur, au 1</t>
    </r>
    <r>
      <rPr>
        <vertAlign val="superscript"/>
        <sz val="10"/>
        <color indexed="9"/>
        <rFont val="Arial"/>
        <family val="2"/>
      </rPr>
      <t>er</t>
    </r>
    <r>
      <rPr>
        <sz val="10"/>
        <color indexed="9"/>
        <rFont val="Arial"/>
        <family val="2"/>
      </rPr>
      <t xml:space="preserve"> janvier 2004, de l’indice majoré :</t>
    </r>
  </si>
  <si>
    <t>Tous droits réservés - reproduction interdite</t>
  </si>
  <si>
    <t>Auteur : http://retraite.gouv.fr</t>
  </si>
  <si>
    <t>N.B. les calculs effectués dans ce classeur sont obsolètes</t>
  </si>
  <si>
    <t>Document utilisé comme illustration dans le cadre d'un enseignement public dépendant du Ministère de l'enseignement et de la recherche</t>
  </si>
  <si>
    <t>(cette page ajoutée au document originel)</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</si>
</sst>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
    <numFmt numFmtId="175" formatCode="#,##0.000"/>
    <numFmt numFmtId="176" formatCode="_-* #,##0.0\ &quot;€&quot;_-;\-* #,##0.0\ &quot;€&quot;_-;_-* &quot;-&quot;??\ &quot;€&quot;_-;_-@_-"/>
    <numFmt numFmtId="177" formatCode="_-* #,##0\ &quot;€&quot;_-;\-* #,##0\ &quot;€&quot;_-;_-* &quot;-&quot;??\ &quot;€&quot;_-;_-@_-"/>
    <numFmt numFmtId="178" formatCode="#,##0\ &quot;€&quot;"/>
    <numFmt numFmtId="179" formatCode="0.0000"/>
    <numFmt numFmtId="180" formatCode="0.000"/>
    <numFmt numFmtId="181" formatCode="0.0"/>
    <numFmt numFmtId="182" formatCode="0.00000000"/>
    <numFmt numFmtId="183" formatCode="0.0000000"/>
    <numFmt numFmtId="184" formatCode="0.000000"/>
    <numFmt numFmtId="185" formatCode="0.00000"/>
    <numFmt numFmtId="186" formatCode="&quot;Vrai&quot;;&quot;Vrai&quot;;&quot;Faux&quot;"/>
    <numFmt numFmtId="187" formatCode="&quot;Actif&quot;;&quot;Actif&quot;;&quot;Inactif&quot;"/>
    <numFmt numFmtId="188" formatCode="#,##0.000\ &quot;€&quot;"/>
    <numFmt numFmtId="189" formatCode="#,##0\ &quot;ans&quot;"/>
    <numFmt numFmtId="190" formatCode="#,##0\ [$€-1]"/>
    <numFmt numFmtId="191" formatCode="#,##0.00\ &quot;ans&quot;"/>
    <numFmt numFmtId="192" formatCode="&quot;Oui&quot;;&quot;Oui&quot;;&quot;-&quot;"/>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00000000"/>
    <numFmt numFmtId="200" formatCode="0.0000000000000000"/>
    <numFmt numFmtId="201" formatCode="0.00000000000000000"/>
    <numFmt numFmtId="202" formatCode="0.000000000000000000"/>
    <numFmt numFmtId="203" formatCode="0.0000000000000000000"/>
    <numFmt numFmtId="204" formatCode="0.00000000000000000000"/>
    <numFmt numFmtId="205" formatCode="0.000000000000000000000"/>
    <numFmt numFmtId="206" formatCode="0.0000000000000000000000"/>
    <numFmt numFmtId="207" formatCode="0.00000000000000000000000"/>
    <numFmt numFmtId="208" formatCode="0.000000000000000000000000"/>
    <numFmt numFmtId="209" formatCode="0.0000000000000000000000000"/>
    <numFmt numFmtId="210" formatCode="0.00000000000000000000000000"/>
    <numFmt numFmtId="211" formatCode="0.000000000000000000000000000"/>
    <numFmt numFmtId="212" formatCode="#,##0\ &quot;trimestres&quot;"/>
    <numFmt numFmtId="213" formatCode="#,##0.0\ &quot;trimestres&quot;"/>
  </numFmts>
  <fonts count="81">
    <font>
      <sz val="10"/>
      <name val="Arial"/>
      <family val="0"/>
    </font>
    <font>
      <sz val="8"/>
      <name val="Arial"/>
      <family val="0"/>
    </font>
    <font>
      <b/>
      <sz val="10"/>
      <name val="Arial"/>
      <family val="2"/>
    </font>
    <font>
      <u val="single"/>
      <sz val="7.5"/>
      <color indexed="12"/>
      <name val="Arial"/>
      <family val="0"/>
    </font>
    <font>
      <u val="single"/>
      <sz val="7.5"/>
      <color indexed="36"/>
      <name val="Arial"/>
      <family val="0"/>
    </font>
    <font>
      <sz val="8"/>
      <name val="Tahoma"/>
      <family val="2"/>
    </font>
    <font>
      <b/>
      <sz val="10"/>
      <color indexed="10"/>
      <name val="Arial"/>
      <family val="2"/>
    </font>
    <font>
      <i/>
      <sz val="10"/>
      <name val="Arial"/>
      <family val="2"/>
    </font>
    <font>
      <b/>
      <i/>
      <sz val="10"/>
      <name val="Arial"/>
      <family val="2"/>
    </font>
    <font>
      <b/>
      <sz val="14"/>
      <color indexed="10"/>
      <name val="Arial"/>
      <family val="2"/>
    </font>
    <font>
      <b/>
      <sz val="10"/>
      <color indexed="12"/>
      <name val="Arial"/>
      <family val="2"/>
    </font>
    <font>
      <b/>
      <sz val="14"/>
      <name val="Arial"/>
      <family val="2"/>
    </font>
    <font>
      <i/>
      <sz val="8"/>
      <color indexed="22"/>
      <name val="Arial"/>
      <family val="2"/>
    </font>
    <font>
      <b/>
      <sz val="8"/>
      <name val="Tahoma"/>
      <family val="0"/>
    </font>
    <font>
      <b/>
      <sz val="12"/>
      <name val="Arial"/>
      <family val="2"/>
    </font>
    <font>
      <u val="single"/>
      <sz val="10"/>
      <name val="Arial"/>
      <family val="2"/>
    </font>
    <font>
      <sz val="10"/>
      <color indexed="10"/>
      <name val="Arial"/>
      <family val="0"/>
    </font>
    <font>
      <b/>
      <vertAlign val="superscript"/>
      <sz val="10"/>
      <name val="Arial"/>
      <family val="2"/>
    </font>
    <font>
      <b/>
      <u val="single"/>
      <sz val="10"/>
      <name val="Arial"/>
      <family val="2"/>
    </font>
    <font>
      <b/>
      <sz val="10"/>
      <color indexed="53"/>
      <name val="Arial"/>
      <family val="2"/>
    </font>
    <font>
      <u val="single"/>
      <sz val="10"/>
      <color indexed="12"/>
      <name val="Arial"/>
      <family val="0"/>
    </font>
    <font>
      <u val="single"/>
      <sz val="14"/>
      <color indexed="12"/>
      <name val="Arial"/>
      <family val="0"/>
    </font>
    <font>
      <sz val="12"/>
      <name val="Times New Roman"/>
      <family val="1"/>
    </font>
    <font>
      <b/>
      <sz val="18"/>
      <name val="Times New Roman"/>
      <family val="1"/>
    </font>
    <font>
      <sz val="11"/>
      <name val="Times New Roman"/>
      <family val="1"/>
    </font>
    <font>
      <i/>
      <sz val="12"/>
      <name val="Times New Roman"/>
      <family val="1"/>
    </font>
    <font>
      <i/>
      <u val="single"/>
      <sz val="12"/>
      <name val="Times New Roman"/>
      <family val="1"/>
    </font>
    <font>
      <vertAlign val="superscript"/>
      <sz val="11"/>
      <name val="Times New Roman"/>
      <family val="1"/>
    </font>
    <font>
      <sz val="11"/>
      <name val="Wingdings"/>
      <family val="0"/>
    </font>
    <font>
      <sz val="7"/>
      <name val="Times New Roman"/>
      <family val="1"/>
    </font>
    <font>
      <b/>
      <sz val="10"/>
      <name val="Palatino Linotype"/>
      <family val="1"/>
    </font>
    <font>
      <b/>
      <u val="single"/>
      <sz val="10"/>
      <name val="Palatino Linotype"/>
      <family val="1"/>
    </font>
    <font>
      <sz val="10"/>
      <name val="Palatino Linotype"/>
      <family val="1"/>
    </font>
    <font>
      <i/>
      <sz val="8"/>
      <name val="Times New Roman"/>
      <family val="1"/>
    </font>
    <font>
      <b/>
      <sz val="10"/>
      <color indexed="9"/>
      <name val="Arial"/>
      <family val="2"/>
    </font>
    <font>
      <sz val="10"/>
      <color indexed="9"/>
      <name val="Arial"/>
      <family val="2"/>
    </font>
    <font>
      <i/>
      <sz val="10"/>
      <color indexed="9"/>
      <name val="Arial"/>
      <family val="2"/>
    </font>
    <font>
      <sz val="11"/>
      <color indexed="9"/>
      <name val="Arial"/>
      <family val="2"/>
    </font>
    <font>
      <b/>
      <sz val="11"/>
      <color indexed="9"/>
      <name val="Arial"/>
      <family val="2"/>
    </font>
    <font>
      <b/>
      <i/>
      <sz val="10"/>
      <color indexed="9"/>
      <name val="Arial"/>
      <family val="2"/>
    </font>
    <font>
      <b/>
      <sz val="14"/>
      <color indexed="9"/>
      <name val="Arial"/>
      <family val="2"/>
    </font>
    <font>
      <b/>
      <sz val="12"/>
      <color indexed="9"/>
      <name val="Arial"/>
      <family val="2"/>
    </font>
    <font>
      <b/>
      <u val="single"/>
      <sz val="10"/>
      <color indexed="9"/>
      <name val="Arial"/>
      <family val="2"/>
    </font>
    <font>
      <vertAlign val="superscrip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b/>
      <sz val="20"/>
      <color indexed="10"/>
      <name val="Arial"/>
      <family val="2"/>
    </font>
    <font>
      <sz val="12"/>
      <color theme="1"/>
      <name val="Arial"/>
      <family val="2"/>
    </font>
    <font>
      <sz val="12"/>
      <color theme="0"/>
      <name val="Arial"/>
      <family val="2"/>
    </font>
    <font>
      <sz val="12"/>
      <color rgb="FFFF0000"/>
      <name val="Arial"/>
      <family val="2"/>
    </font>
    <font>
      <b/>
      <sz val="12"/>
      <color rgb="FFFA7D00"/>
      <name val="Arial"/>
      <family val="2"/>
    </font>
    <font>
      <sz val="12"/>
      <color rgb="FFFA7D00"/>
      <name val="Arial"/>
      <family val="2"/>
    </font>
    <font>
      <sz val="12"/>
      <color rgb="FF3F3F76"/>
      <name val="Arial"/>
      <family val="2"/>
    </font>
    <font>
      <sz val="12"/>
      <color rgb="FF9C0006"/>
      <name val="Arial"/>
      <family val="2"/>
    </font>
    <font>
      <sz val="12"/>
      <color rgb="FF9C6500"/>
      <name val="Arial"/>
      <family val="2"/>
    </font>
    <font>
      <sz val="12"/>
      <color rgb="FF006100"/>
      <name val="Arial"/>
      <family val="2"/>
    </font>
    <font>
      <b/>
      <sz val="12"/>
      <color rgb="FF3F3F3F"/>
      <name val="Arial"/>
      <family val="2"/>
    </font>
    <font>
      <i/>
      <sz val="12"/>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2"/>
      <color theme="1"/>
      <name val="Arial"/>
      <family val="2"/>
    </font>
    <font>
      <b/>
      <sz val="12"/>
      <color theme="0"/>
      <name val="Arial"/>
      <family val="2"/>
    </font>
    <font>
      <b/>
      <sz val="20"/>
      <color rgb="FFFF0000"/>
      <name val="Arial"/>
      <family val="2"/>
    </font>
    <font>
      <b/>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style="double"/>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color indexed="63"/>
      </right>
      <top style="medium"/>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color indexed="63"/>
      </top>
      <bottom style="double"/>
    </border>
    <border>
      <left style="medium"/>
      <right style="thin"/>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medium"/>
    </border>
    <border>
      <left style="medium"/>
      <right style="thin"/>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thin"/>
      <top style="medium"/>
      <bottom>
        <color indexed="63"/>
      </bottom>
    </border>
    <border>
      <left>
        <color indexed="63"/>
      </left>
      <right style="double"/>
      <top style="medium"/>
      <bottom>
        <color indexed="63"/>
      </bottom>
    </border>
    <border>
      <left>
        <color indexed="63"/>
      </left>
      <right style="double"/>
      <top style="double"/>
      <bottom>
        <color indexed="63"/>
      </bottom>
    </border>
    <border>
      <left>
        <color indexed="63"/>
      </left>
      <right style="double"/>
      <top>
        <color indexed="63"/>
      </top>
      <bottom style="medium"/>
    </border>
    <border>
      <left>
        <color indexed="63"/>
      </left>
      <right style="double"/>
      <top>
        <color indexed="63"/>
      </top>
      <bottom style="double"/>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double"/>
      <right>
        <color indexed="63"/>
      </right>
      <top style="medium"/>
      <bottom style="medium"/>
    </border>
    <border>
      <left style="double"/>
      <right>
        <color indexed="63"/>
      </right>
      <top style="thin"/>
      <bottom>
        <color indexed="63"/>
      </bottom>
    </border>
    <border>
      <left>
        <color indexed="63"/>
      </left>
      <right style="double"/>
      <top style="thin"/>
      <bottom>
        <color indexed="63"/>
      </bottom>
    </border>
    <border>
      <left style="double"/>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44" fontId="0" fillId="0" borderId="0" applyFont="0" applyFill="0" applyBorder="0" applyAlignment="0" applyProtection="0"/>
    <xf numFmtId="0" fontId="67"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213" fontId="0" fillId="33" borderId="0" xfId="0" applyNumberFormat="1" applyFont="1" applyFill="1" applyBorder="1" applyAlignment="1">
      <alignment horizontal="center"/>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178" fontId="0" fillId="33" borderId="0" xfId="0" applyNumberFormat="1" applyFont="1" applyFill="1" applyBorder="1" applyAlignment="1">
      <alignment horizontal="center" wrapText="1"/>
    </xf>
    <xf numFmtId="0" fontId="0" fillId="33" borderId="14" xfId="0" applyFill="1" applyBorder="1" applyAlignment="1">
      <alignment/>
    </xf>
    <xf numFmtId="190" fontId="0" fillId="0" borderId="0" xfId="0" applyNumberFormat="1" applyBorder="1" applyAlignment="1">
      <alignment horizontal="center" vertical="center" wrapText="1"/>
    </xf>
    <xf numFmtId="0" fontId="0" fillId="33" borderId="0" xfId="0" applyFont="1" applyFill="1" applyBorder="1" applyAlignment="1">
      <alignment/>
    </xf>
    <xf numFmtId="2" fontId="0" fillId="33" borderId="17" xfId="0" applyNumberFormat="1" applyFont="1" applyFill="1" applyBorder="1" applyAlignment="1">
      <alignment horizontal="left"/>
    </xf>
    <xf numFmtId="2" fontId="0" fillId="33" borderId="18" xfId="0" applyNumberFormat="1" applyFont="1" applyFill="1" applyBorder="1" applyAlignment="1">
      <alignment horizontal="left"/>
    </xf>
    <xf numFmtId="0" fontId="0" fillId="33" borderId="19" xfId="0" applyFont="1" applyFill="1" applyBorder="1" applyAlignment="1">
      <alignment/>
    </xf>
    <xf numFmtId="2" fontId="0" fillId="33" borderId="20" xfId="0" applyNumberFormat="1" applyFont="1" applyFill="1" applyBorder="1" applyAlignment="1">
      <alignment horizontal="left"/>
    </xf>
    <xf numFmtId="0" fontId="0" fillId="33" borderId="10" xfId="0" applyFont="1" applyFill="1" applyBorder="1" applyAlignment="1">
      <alignment/>
    </xf>
    <xf numFmtId="0" fontId="0" fillId="33" borderId="11" xfId="0" applyFont="1" applyFill="1" applyBorder="1" applyAlignment="1">
      <alignment/>
    </xf>
    <xf numFmtId="0" fontId="0" fillId="33" borderId="18" xfId="0" applyFont="1" applyFill="1" applyBorder="1" applyAlignment="1">
      <alignment/>
    </xf>
    <xf numFmtId="191" fontId="0" fillId="33" borderId="0" xfId="0" applyNumberFormat="1" applyFont="1" applyFill="1" applyBorder="1" applyAlignment="1">
      <alignment horizontal="center"/>
    </xf>
    <xf numFmtId="0" fontId="0" fillId="33" borderId="20" xfId="0" applyFont="1" applyFill="1" applyBorder="1" applyAlignment="1">
      <alignment/>
    </xf>
    <xf numFmtId="0" fontId="0" fillId="33" borderId="12" xfId="0" applyFont="1" applyFill="1" applyBorder="1" applyAlignment="1" quotePrefix="1">
      <alignment/>
    </xf>
    <xf numFmtId="0" fontId="15" fillId="33" borderId="17" xfId="0" applyFont="1" applyFill="1" applyBorder="1" applyAlignment="1">
      <alignment/>
    </xf>
    <xf numFmtId="0" fontId="0" fillId="0" borderId="0" xfId="0" applyFont="1" applyFill="1" applyBorder="1" applyAlignment="1" quotePrefix="1">
      <alignment/>
    </xf>
    <xf numFmtId="2" fontId="0" fillId="0" borderId="0" xfId="0" applyNumberFormat="1" applyFont="1" applyFill="1" applyBorder="1" applyAlignment="1">
      <alignment horizontal="left"/>
    </xf>
    <xf numFmtId="0" fontId="0" fillId="33" borderId="0"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15" fillId="33" borderId="17" xfId="0" applyFont="1" applyFill="1" applyBorder="1" applyAlignment="1">
      <alignment/>
    </xf>
    <xf numFmtId="0" fontId="0" fillId="0" borderId="0" xfId="0" applyAlignment="1">
      <alignment horizontal="left"/>
    </xf>
    <xf numFmtId="2" fontId="18" fillId="33" borderId="17" xfId="0" applyNumberFormat="1" applyFont="1" applyFill="1" applyBorder="1" applyAlignment="1">
      <alignment horizontal="left"/>
    </xf>
    <xf numFmtId="2" fontId="2" fillId="33" borderId="20" xfId="0" applyNumberFormat="1" applyFont="1" applyFill="1" applyBorder="1" applyAlignment="1">
      <alignment horizontal="left"/>
    </xf>
    <xf numFmtId="0" fontId="11" fillId="33" borderId="21" xfId="0" applyFont="1" applyFill="1" applyBorder="1" applyAlignment="1">
      <alignment vertical="center"/>
    </xf>
    <xf numFmtId="0" fontId="0" fillId="33" borderId="0" xfId="0" applyFill="1" applyBorder="1" applyAlignment="1">
      <alignment vertical="center" wrapText="1"/>
    </xf>
    <xf numFmtId="0" fontId="0" fillId="33" borderId="22" xfId="0" applyFill="1" applyBorder="1" applyAlignment="1">
      <alignment/>
    </xf>
    <xf numFmtId="0" fontId="0" fillId="33" borderId="0" xfId="0" applyFill="1" applyBorder="1" applyAlignment="1">
      <alignment/>
    </xf>
    <xf numFmtId="0" fontId="16" fillId="33" borderId="23" xfId="0" applyFont="1" applyFill="1" applyBorder="1" applyAlignment="1">
      <alignment horizontal="right"/>
    </xf>
    <xf numFmtId="0" fontId="0" fillId="33" borderId="24" xfId="0" applyFill="1" applyBorder="1" applyAlignment="1">
      <alignment/>
    </xf>
    <xf numFmtId="0" fontId="0" fillId="33" borderId="25" xfId="0" applyFill="1" applyBorder="1" applyAlignment="1">
      <alignment/>
    </xf>
    <xf numFmtId="0" fontId="2" fillId="33" borderId="24" xfId="0" applyFont="1" applyFill="1" applyBorder="1" applyAlignment="1">
      <alignment horizontal="right" vertical="center" wrapText="1"/>
    </xf>
    <xf numFmtId="0" fontId="2" fillId="33" borderId="0" xfId="0" applyFont="1" applyFill="1" applyBorder="1" applyAlignment="1" applyProtection="1">
      <alignment horizontal="center" vertical="center" wrapText="1"/>
      <protection locked="0"/>
    </xf>
    <xf numFmtId="0" fontId="2" fillId="33" borderId="26" xfId="0" applyFont="1" applyFill="1" applyBorder="1" applyAlignment="1">
      <alignment horizontal="right"/>
    </xf>
    <xf numFmtId="0" fontId="0" fillId="33" borderId="27" xfId="0" applyFill="1" applyBorder="1" applyAlignment="1">
      <alignment/>
    </xf>
    <xf numFmtId="0" fontId="0" fillId="33" borderId="28" xfId="0" applyFill="1" applyBorder="1" applyAlignment="1">
      <alignment/>
    </xf>
    <xf numFmtId="0" fontId="0" fillId="33" borderId="22" xfId="0" applyFill="1" applyBorder="1" applyAlignment="1">
      <alignment horizontal="right"/>
    </xf>
    <xf numFmtId="0" fontId="0" fillId="33" borderId="0" xfId="0" applyFill="1" applyBorder="1" applyAlignment="1">
      <alignment horizontal="right"/>
    </xf>
    <xf numFmtId="0" fontId="0" fillId="33" borderId="0" xfId="0" applyFill="1" applyBorder="1" applyAlignment="1" applyProtection="1">
      <alignment vertical="center" wrapText="1"/>
      <protection locked="0"/>
    </xf>
    <xf numFmtId="0" fontId="0" fillId="33" borderId="23" xfId="0" applyFill="1" applyBorder="1" applyAlignment="1" applyProtection="1">
      <alignment vertical="center" wrapText="1"/>
      <protection locked="0"/>
    </xf>
    <xf numFmtId="0" fontId="0" fillId="33" borderId="23" xfId="0" applyFill="1" applyBorder="1" applyAlignment="1">
      <alignment vertical="center" wrapText="1"/>
    </xf>
    <xf numFmtId="0" fontId="12" fillId="33" borderId="0" xfId="0" applyFont="1" applyFill="1" applyBorder="1" applyAlignment="1">
      <alignment vertical="center" wrapText="1"/>
    </xf>
    <xf numFmtId="0" fontId="2" fillId="0" borderId="29" xfId="0" applyFont="1" applyFill="1" applyBorder="1" applyAlignment="1" applyProtection="1">
      <alignment horizontal="center" vertical="center" wrapText="1"/>
      <protection locked="0"/>
    </xf>
    <xf numFmtId="0" fontId="2" fillId="33" borderId="27" xfId="0" applyFont="1" applyFill="1" applyBorder="1" applyAlignment="1">
      <alignment horizontal="right"/>
    </xf>
    <xf numFmtId="0" fontId="2" fillId="0" borderId="29" xfId="0" applyFont="1" applyFill="1" applyBorder="1" applyAlignment="1" applyProtection="1">
      <alignment horizontal="center" vertical="center"/>
      <protection locked="0"/>
    </xf>
    <xf numFmtId="0" fontId="8" fillId="34" borderId="30" xfId="0" applyFont="1" applyFill="1" applyBorder="1" applyAlignment="1">
      <alignment horizontal="center" vertical="center" wrapText="1"/>
    </xf>
    <xf numFmtId="0" fontId="8" fillId="34" borderId="31" xfId="0" applyFont="1" applyFill="1" applyBorder="1" applyAlignment="1">
      <alignment horizontal="center" vertical="center" wrapText="1"/>
    </xf>
    <xf numFmtId="10" fontId="0" fillId="34" borderId="30" xfId="53" applyNumberFormat="1" applyFont="1" applyFill="1" applyBorder="1" applyAlignment="1">
      <alignment horizontal="center" vertical="center" wrapText="1"/>
    </xf>
    <xf numFmtId="10" fontId="0" fillId="34" borderId="32" xfId="53" applyNumberFormat="1" applyFont="1" applyFill="1" applyBorder="1" applyAlignment="1">
      <alignment horizontal="center" vertical="center" wrapText="1"/>
    </xf>
    <xf numFmtId="10" fontId="0" fillId="34" borderId="29" xfId="53" applyNumberFormat="1" applyFill="1" applyBorder="1" applyAlignment="1">
      <alignment horizontal="center" vertical="center" wrapText="1"/>
    </xf>
    <xf numFmtId="10" fontId="0" fillId="34" borderId="33" xfId="53" applyNumberFormat="1" applyFill="1" applyBorder="1" applyAlignment="1">
      <alignment horizontal="center" vertical="center" wrapText="1"/>
    </xf>
    <xf numFmtId="192" fontId="0" fillId="34" borderId="34" xfId="0" applyNumberFormat="1" applyFill="1" applyBorder="1" applyAlignment="1">
      <alignment horizontal="center" vertical="center" wrapText="1"/>
    </xf>
    <xf numFmtId="190" fontId="0" fillId="34" borderId="34" xfId="0" applyNumberFormat="1" applyFill="1" applyBorder="1" applyAlignment="1">
      <alignment horizontal="center" vertical="center" wrapText="1"/>
    </xf>
    <xf numFmtId="190" fontId="0" fillId="34" borderId="35" xfId="0" applyNumberFormat="1" applyFill="1" applyBorder="1" applyAlignment="1">
      <alignment horizontal="center" vertical="center" wrapText="1"/>
    </xf>
    <xf numFmtId="0" fontId="8" fillId="34" borderId="36" xfId="0" applyFont="1" applyFill="1" applyBorder="1" applyAlignment="1">
      <alignment horizontal="center" vertical="center" wrapText="1"/>
    </xf>
    <xf numFmtId="172" fontId="0" fillId="34" borderId="29" xfId="53" applyNumberFormat="1" applyFill="1" applyBorder="1" applyAlignment="1">
      <alignment horizontal="center" vertical="center" wrapText="1"/>
    </xf>
    <xf numFmtId="172" fontId="0" fillId="34" borderId="37" xfId="53" applyNumberFormat="1" applyFill="1" applyBorder="1" applyAlignment="1">
      <alignment horizontal="center" vertical="center" wrapText="1"/>
    </xf>
    <xf numFmtId="190" fontId="0" fillId="34" borderId="38" xfId="0" applyNumberFormat="1" applyFill="1" applyBorder="1" applyAlignment="1">
      <alignment horizontal="center" vertical="center" wrapText="1"/>
    </xf>
    <xf numFmtId="0" fontId="2" fillId="33" borderId="0" xfId="0" applyFont="1" applyFill="1" applyBorder="1" applyAlignment="1">
      <alignment horizontal="right" vertical="center"/>
    </xf>
    <xf numFmtId="0" fontId="0" fillId="33" borderId="39" xfId="0" applyFill="1" applyBorder="1" applyAlignment="1">
      <alignment/>
    </xf>
    <xf numFmtId="0" fontId="0" fillId="33" borderId="12" xfId="0" applyFill="1" applyBorder="1" applyAlignment="1">
      <alignment vertical="center"/>
    </xf>
    <xf numFmtId="0" fontId="12" fillId="33" borderId="12" xfId="0" applyFont="1" applyFill="1" applyBorder="1" applyAlignment="1">
      <alignment vertical="center"/>
    </xf>
    <xf numFmtId="0" fontId="0" fillId="33" borderId="12" xfId="0" applyFill="1" applyBorder="1" applyAlignment="1">
      <alignment vertical="center" wrapText="1"/>
    </xf>
    <xf numFmtId="0" fontId="0" fillId="33" borderId="40" xfId="0" applyFill="1" applyBorder="1" applyAlignment="1">
      <alignment vertical="center" wrapText="1"/>
    </xf>
    <xf numFmtId="0" fontId="2" fillId="33" borderId="15" xfId="0" applyFont="1" applyFill="1" applyBorder="1" applyAlignment="1">
      <alignment horizontal="right" vertical="center" wrapText="1"/>
    </xf>
    <xf numFmtId="0" fontId="2" fillId="33" borderId="12" xfId="0" applyFont="1" applyFill="1" applyBorder="1" applyAlignment="1">
      <alignment horizontal="right" vertical="center" wrapText="1"/>
    </xf>
    <xf numFmtId="0" fontId="20" fillId="33" borderId="23" xfId="46" applyFont="1" applyFill="1" applyBorder="1" applyAlignment="1" applyProtection="1">
      <alignment horizontal="center" vertical="center" wrapText="1"/>
      <protection/>
    </xf>
    <xf numFmtId="0" fontId="7" fillId="0" borderId="0" xfId="0" applyFont="1" applyFill="1" applyBorder="1" applyAlignment="1">
      <alignment/>
    </xf>
    <xf numFmtId="0" fontId="26" fillId="35" borderId="0" xfId="0" applyFont="1" applyFill="1" applyAlignment="1">
      <alignment/>
    </xf>
    <xf numFmtId="0" fontId="0" fillId="35" borderId="0" xfId="0" applyFill="1" applyAlignment="1">
      <alignment/>
    </xf>
    <xf numFmtId="0" fontId="25" fillId="35" borderId="0" xfId="0" applyFont="1" applyFill="1" applyAlignment="1">
      <alignment/>
    </xf>
    <xf numFmtId="0" fontId="28" fillId="35" borderId="0" xfId="0" applyFont="1" applyFill="1" applyAlignment="1">
      <alignment horizontal="left" vertical="top" indent="1"/>
    </xf>
    <xf numFmtId="0" fontId="28" fillId="35" borderId="0" xfId="0" applyFont="1" applyFill="1" applyAlignment="1">
      <alignment horizontal="left" indent="1"/>
    </xf>
    <xf numFmtId="0" fontId="24" fillId="35" borderId="0" xfId="0" applyFont="1" applyFill="1" applyAlignment="1">
      <alignment horizontal="left"/>
    </xf>
    <xf numFmtId="0" fontId="31" fillId="35" borderId="29" xfId="0" applyFont="1" applyFill="1" applyBorder="1" applyAlignment="1">
      <alignment horizontal="center" vertical="top" wrapText="1"/>
    </xf>
    <xf numFmtId="0" fontId="31" fillId="35" borderId="29" xfId="0" applyFont="1" applyFill="1" applyBorder="1" applyAlignment="1">
      <alignment vertical="top" wrapText="1"/>
    </xf>
    <xf numFmtId="0" fontId="32" fillId="35" borderId="29" xfId="0" applyFont="1" applyFill="1" applyBorder="1" applyAlignment="1">
      <alignment horizontal="center" vertical="center" wrapText="1"/>
    </xf>
    <xf numFmtId="0" fontId="2" fillId="35" borderId="0" xfId="0" applyFont="1" applyFill="1" applyAlignment="1">
      <alignment vertical="center"/>
    </xf>
    <xf numFmtId="0" fontId="2" fillId="35" borderId="0" xfId="0" applyFont="1" applyFill="1" applyAlignment="1">
      <alignment/>
    </xf>
    <xf numFmtId="0" fontId="0" fillId="35" borderId="0" xfId="0" applyFill="1" applyAlignment="1">
      <alignment horizontal="left"/>
    </xf>
    <xf numFmtId="0" fontId="24" fillId="35" borderId="0" xfId="0" applyFont="1" applyFill="1" applyAlignment="1">
      <alignment/>
    </xf>
    <xf numFmtId="0" fontId="7" fillId="35" borderId="0" xfId="0" applyFont="1" applyFill="1" applyAlignment="1">
      <alignment horizontal="left"/>
    </xf>
    <xf numFmtId="0" fontId="29" fillId="35" borderId="0" xfId="0" applyFont="1" applyFill="1" applyAlignment="1">
      <alignment horizontal="left"/>
    </xf>
    <xf numFmtId="0" fontId="2" fillId="35" borderId="0" xfId="0" applyFont="1" applyFill="1" applyAlignment="1">
      <alignment horizontal="left"/>
    </xf>
    <xf numFmtId="0" fontId="1" fillId="35" borderId="0" xfId="0" applyFont="1" applyFill="1" applyAlignment="1">
      <alignment horizontal="right"/>
    </xf>
    <xf numFmtId="0" fontId="3" fillId="35" borderId="0" xfId="46" applyFill="1" applyAlignment="1" applyProtection="1">
      <alignment horizontal="right"/>
      <protection/>
    </xf>
    <xf numFmtId="0" fontId="33" fillId="35" borderId="0" xfId="0" applyFont="1" applyFill="1" applyAlignment="1">
      <alignment horizontal="right"/>
    </xf>
    <xf numFmtId="0" fontId="28" fillId="35" borderId="0" xfId="0" applyFont="1" applyFill="1" applyAlignment="1">
      <alignment wrapText="1"/>
    </xf>
    <xf numFmtId="0" fontId="9" fillId="35" borderId="0" xfId="0" applyFont="1" applyFill="1" applyBorder="1" applyAlignment="1">
      <alignment/>
    </xf>
    <xf numFmtId="0" fontId="28" fillId="35" borderId="0" xfId="0" applyFont="1" applyFill="1" applyAlignment="1">
      <alignment horizontal="left" vertical="center"/>
    </xf>
    <xf numFmtId="0" fontId="22" fillId="35" borderId="0" xfId="0" applyFont="1" applyFill="1" applyAlignment="1">
      <alignment horizontal="left" vertical="center"/>
    </xf>
    <xf numFmtId="0" fontId="0" fillId="35" borderId="0" xfId="0" applyFill="1" applyAlignment="1">
      <alignment vertical="center"/>
    </xf>
    <xf numFmtId="0" fontId="3" fillId="35" borderId="0" xfId="46" applyFill="1" applyAlignment="1" applyProtection="1">
      <alignment horizontal="left"/>
      <protection/>
    </xf>
    <xf numFmtId="0" fontId="0" fillId="0" borderId="0" xfId="0" applyFont="1" applyFill="1" applyBorder="1" applyAlignment="1">
      <alignment horizontal="right" vertical="center" wrapText="1"/>
    </xf>
    <xf numFmtId="190" fontId="0" fillId="0" borderId="0" xfId="0" applyNumberFormat="1" applyFill="1" applyBorder="1" applyAlignment="1">
      <alignment horizontal="center" vertical="center" wrapText="1"/>
    </xf>
    <xf numFmtId="0" fontId="6" fillId="0" borderId="0" xfId="0" applyFont="1" applyFill="1" applyBorder="1" applyAlignment="1">
      <alignment horizontal="left" vertical="center"/>
    </xf>
    <xf numFmtId="0" fontId="32" fillId="35" borderId="0" xfId="0" applyFont="1" applyFill="1" applyBorder="1" applyAlignment="1">
      <alignment horizontal="left" vertical="center" wrapText="1" indent="1"/>
    </xf>
    <xf numFmtId="0" fontId="32" fillId="35" borderId="0" xfId="0" applyFont="1" applyFill="1" applyBorder="1" applyAlignment="1">
      <alignment horizontal="center" vertical="center" wrapText="1"/>
    </xf>
    <xf numFmtId="0" fontId="34" fillId="35" borderId="0" xfId="0" applyFont="1" applyFill="1" applyBorder="1" applyAlignment="1" applyProtection="1">
      <alignment horizontal="center"/>
      <protection hidden="1"/>
    </xf>
    <xf numFmtId="0" fontId="35" fillId="35" borderId="0" xfId="0" applyFont="1" applyFill="1" applyAlignment="1" applyProtection="1">
      <alignment/>
      <protection hidden="1"/>
    </xf>
    <xf numFmtId="0" fontId="35" fillId="35" borderId="0" xfId="0" applyFont="1" applyFill="1" applyAlignment="1" applyProtection="1">
      <alignment horizontal="center"/>
      <protection hidden="1"/>
    </xf>
    <xf numFmtId="0" fontId="34" fillId="35" borderId="41" xfId="0" applyFont="1" applyFill="1" applyBorder="1" applyAlignment="1" applyProtection="1">
      <alignment/>
      <protection hidden="1"/>
    </xf>
    <xf numFmtId="0" fontId="35" fillId="35" borderId="42" xfId="0" applyFont="1" applyFill="1" applyBorder="1" applyAlignment="1" applyProtection="1">
      <alignment/>
      <protection hidden="1"/>
    </xf>
    <xf numFmtId="0" fontId="35" fillId="35" borderId="43" xfId="0" applyFont="1" applyFill="1" applyBorder="1" applyAlignment="1" applyProtection="1">
      <alignment/>
      <protection hidden="1"/>
    </xf>
    <xf numFmtId="0" fontId="35" fillId="35" borderId="26" xfId="0" applyFont="1" applyFill="1" applyBorder="1" applyAlignment="1" applyProtection="1">
      <alignment/>
      <protection hidden="1"/>
    </xf>
    <xf numFmtId="0" fontId="36" fillId="35" borderId="44" xfId="0" applyFont="1" applyFill="1" applyBorder="1" applyAlignment="1" applyProtection="1">
      <alignment horizontal="center"/>
      <protection hidden="1"/>
    </xf>
    <xf numFmtId="0" fontId="34" fillId="35" borderId="45" xfId="0" applyFont="1" applyFill="1" applyBorder="1" applyAlignment="1" applyProtection="1">
      <alignment horizontal="center"/>
      <protection hidden="1"/>
    </xf>
    <xf numFmtId="0" fontId="35" fillId="35" borderId="41" xfId="0" applyFont="1" applyFill="1" applyBorder="1" applyAlignment="1" applyProtection="1">
      <alignment horizontal="left"/>
      <protection hidden="1"/>
    </xf>
    <xf numFmtId="0" fontId="35" fillId="35" borderId="46" xfId="0" applyFont="1" applyFill="1" applyBorder="1" applyAlignment="1" applyProtection="1">
      <alignment/>
      <protection hidden="1"/>
    </xf>
    <xf numFmtId="0" fontId="35" fillId="35" borderId="31" xfId="0" applyFont="1" applyFill="1" applyBorder="1" applyAlignment="1" applyProtection="1">
      <alignment horizontal="right"/>
      <protection hidden="1"/>
    </xf>
    <xf numFmtId="0" fontId="35" fillId="35" borderId="24" xfId="0" applyFont="1" applyFill="1" applyBorder="1" applyAlignment="1" applyProtection="1">
      <alignment horizontal="right"/>
      <protection hidden="1"/>
    </xf>
    <xf numFmtId="0" fontId="36" fillId="35" borderId="0" xfId="0" applyFont="1" applyFill="1" applyBorder="1" applyAlignment="1" applyProtection="1">
      <alignment horizontal="center"/>
      <protection hidden="1"/>
    </xf>
    <xf numFmtId="10" fontId="35" fillId="35" borderId="0" xfId="0" applyNumberFormat="1" applyFont="1" applyFill="1" applyBorder="1" applyAlignment="1" applyProtection="1">
      <alignment/>
      <protection hidden="1"/>
    </xf>
    <xf numFmtId="10" fontId="35" fillId="35" borderId="25" xfId="53" applyNumberFormat="1" applyFont="1" applyFill="1" applyBorder="1" applyAlignment="1" applyProtection="1">
      <alignment/>
      <protection hidden="1"/>
    </xf>
    <xf numFmtId="0" fontId="35" fillId="35" borderId="26" xfId="0" applyFont="1" applyFill="1" applyBorder="1" applyAlignment="1" applyProtection="1">
      <alignment horizontal="right"/>
      <protection hidden="1"/>
    </xf>
    <xf numFmtId="0" fontId="36" fillId="35" borderId="27" xfId="0" applyFont="1" applyFill="1" applyBorder="1" applyAlignment="1" applyProtection="1">
      <alignment horizontal="center"/>
      <protection hidden="1"/>
    </xf>
    <xf numFmtId="10" fontId="35" fillId="35" borderId="27" xfId="0" applyNumberFormat="1" applyFont="1" applyFill="1" applyBorder="1" applyAlignment="1" applyProtection="1">
      <alignment/>
      <protection hidden="1"/>
    </xf>
    <xf numFmtId="10" fontId="35" fillId="35" borderId="28" xfId="53" applyNumberFormat="1" applyFont="1" applyFill="1" applyBorder="1" applyAlignment="1" applyProtection="1">
      <alignment horizontal="right"/>
      <protection hidden="1"/>
    </xf>
    <xf numFmtId="0" fontId="35" fillId="35" borderId="47" xfId="0" applyFont="1" applyFill="1" applyBorder="1" applyAlignment="1" applyProtection="1">
      <alignment horizontal="left"/>
      <protection hidden="1"/>
    </xf>
    <xf numFmtId="0" fontId="36" fillId="35" borderId="48" xfId="0" applyFont="1" applyFill="1" applyBorder="1" applyAlignment="1" applyProtection="1">
      <alignment/>
      <protection hidden="1"/>
    </xf>
    <xf numFmtId="1" fontId="35" fillId="35" borderId="49" xfId="0" applyNumberFormat="1" applyFont="1" applyFill="1" applyBorder="1" applyAlignment="1" applyProtection="1">
      <alignment/>
      <protection hidden="1"/>
    </xf>
    <xf numFmtId="10" fontId="35" fillId="35" borderId="0" xfId="53" applyNumberFormat="1" applyFont="1" applyFill="1" applyBorder="1" applyAlignment="1" applyProtection="1">
      <alignment horizontal="right"/>
      <protection hidden="1"/>
    </xf>
    <xf numFmtId="0" fontId="35" fillId="35" borderId="0" xfId="0" applyFont="1" applyFill="1" applyBorder="1" applyAlignment="1" applyProtection="1">
      <alignment/>
      <protection hidden="1"/>
    </xf>
    <xf numFmtId="0" fontId="34" fillId="35" borderId="0" xfId="0" applyFont="1" applyFill="1" applyBorder="1" applyAlignment="1" applyProtection="1">
      <alignment horizontal="left"/>
      <protection hidden="1"/>
    </xf>
    <xf numFmtId="0" fontId="36" fillId="35" borderId="0" xfId="0" applyFont="1" applyFill="1" applyBorder="1" applyAlignment="1" applyProtection="1">
      <alignment/>
      <protection hidden="1"/>
    </xf>
    <xf numFmtId="0" fontId="34" fillId="35" borderId="0" xfId="0" applyFont="1" applyFill="1" applyAlignment="1" applyProtection="1">
      <alignment horizontal="left"/>
      <protection hidden="1"/>
    </xf>
    <xf numFmtId="0" fontId="34" fillId="35" borderId="41" xfId="0" applyFont="1" applyFill="1" applyBorder="1" applyAlignment="1" applyProtection="1">
      <alignment/>
      <protection hidden="1"/>
    </xf>
    <xf numFmtId="0" fontId="34" fillId="35" borderId="46" xfId="0" applyFont="1" applyFill="1" applyBorder="1" applyAlignment="1" applyProtection="1">
      <alignment/>
      <protection hidden="1"/>
    </xf>
    <xf numFmtId="0" fontId="34" fillId="35" borderId="31" xfId="0" applyFont="1" applyFill="1" applyBorder="1" applyAlignment="1" applyProtection="1">
      <alignment wrapText="1"/>
      <protection hidden="1"/>
    </xf>
    <xf numFmtId="0" fontId="35" fillId="35" borderId="24" xfId="0" applyFont="1" applyFill="1" applyBorder="1" applyAlignment="1" applyProtection="1">
      <alignment/>
      <protection hidden="1"/>
    </xf>
    <xf numFmtId="2" fontId="35" fillId="35" borderId="0" xfId="0" applyNumberFormat="1" applyFont="1" applyFill="1" applyBorder="1" applyAlignment="1" applyProtection="1">
      <alignment/>
      <protection hidden="1"/>
    </xf>
    <xf numFmtId="10" fontId="35" fillId="35" borderId="0" xfId="53" applyNumberFormat="1" applyFont="1" applyFill="1" applyBorder="1" applyAlignment="1" applyProtection="1">
      <alignment/>
      <protection hidden="1"/>
    </xf>
    <xf numFmtId="1" fontId="35" fillId="35" borderId="25" xfId="0" applyNumberFormat="1" applyFont="1" applyFill="1" applyBorder="1" applyAlignment="1" applyProtection="1">
      <alignment/>
      <protection hidden="1"/>
    </xf>
    <xf numFmtId="2" fontId="35" fillId="35" borderId="27" xfId="0" applyNumberFormat="1" applyFont="1" applyFill="1" applyBorder="1" applyAlignment="1" applyProtection="1">
      <alignment/>
      <protection hidden="1"/>
    </xf>
    <xf numFmtId="10" fontId="35" fillId="35" borderId="27" xfId="53" applyNumberFormat="1" applyFont="1" applyFill="1" applyBorder="1" applyAlignment="1" applyProtection="1">
      <alignment/>
      <protection hidden="1"/>
    </xf>
    <xf numFmtId="1" fontId="35" fillId="35" borderId="28" xfId="0" applyNumberFormat="1" applyFont="1" applyFill="1" applyBorder="1" applyAlignment="1" applyProtection="1">
      <alignment/>
      <protection hidden="1"/>
    </xf>
    <xf numFmtId="0" fontId="37" fillId="35" borderId="50" xfId="0" applyFont="1" applyFill="1" applyBorder="1" applyAlignment="1" applyProtection="1">
      <alignment horizontal="center" vertical="top" wrapText="1"/>
      <protection hidden="1"/>
    </xf>
    <xf numFmtId="0" fontId="37" fillId="35" borderId="51" xfId="0" applyFont="1" applyFill="1" applyBorder="1" applyAlignment="1" applyProtection="1">
      <alignment horizontal="center" vertical="top" wrapText="1"/>
      <protection hidden="1"/>
    </xf>
    <xf numFmtId="172" fontId="37" fillId="35" borderId="43" xfId="53" applyNumberFormat="1" applyFont="1" applyFill="1" applyBorder="1" applyAlignment="1" applyProtection="1">
      <alignment horizontal="center" vertical="top" wrapText="1"/>
      <protection hidden="1"/>
    </xf>
    <xf numFmtId="0" fontId="37" fillId="35" borderId="43" xfId="0" applyFont="1" applyFill="1" applyBorder="1" applyAlignment="1" applyProtection="1">
      <alignment horizontal="left" vertical="top" wrapText="1" indent="2"/>
      <protection hidden="1"/>
    </xf>
    <xf numFmtId="10" fontId="37" fillId="35" borderId="43" xfId="53" applyNumberFormat="1" applyFont="1" applyFill="1" applyBorder="1" applyAlignment="1" applyProtection="1">
      <alignment horizontal="center" vertical="top" wrapText="1"/>
      <protection hidden="1"/>
    </xf>
    <xf numFmtId="181" fontId="37" fillId="35" borderId="43" xfId="0" applyNumberFormat="1" applyFont="1" applyFill="1" applyBorder="1" applyAlignment="1" applyProtection="1">
      <alignment horizontal="center" vertical="top" wrapText="1"/>
      <protection hidden="1"/>
    </xf>
    <xf numFmtId="1" fontId="37" fillId="35" borderId="43" xfId="53" applyNumberFormat="1" applyFont="1" applyFill="1" applyBorder="1" applyAlignment="1" applyProtection="1">
      <alignment horizontal="center" vertical="top" wrapText="1"/>
      <protection hidden="1"/>
    </xf>
    <xf numFmtId="0" fontId="37" fillId="35" borderId="52" xfId="0" applyFont="1" applyFill="1" applyBorder="1" applyAlignment="1" applyProtection="1">
      <alignment horizontal="center" vertical="top" wrapText="1"/>
      <protection hidden="1"/>
    </xf>
    <xf numFmtId="10" fontId="38" fillId="35" borderId="25" xfId="0" applyNumberFormat="1" applyFont="1" applyFill="1" applyBorder="1" applyAlignment="1" applyProtection="1">
      <alignment horizontal="center" vertical="top" wrapText="1"/>
      <protection hidden="1"/>
    </xf>
    <xf numFmtId="0" fontId="37" fillId="35" borderId="25" xfId="0" applyFont="1" applyFill="1" applyBorder="1" applyAlignment="1" applyProtection="1">
      <alignment horizontal="left" vertical="top" wrapText="1" indent="2"/>
      <protection hidden="1"/>
    </xf>
    <xf numFmtId="10" fontId="37" fillId="35" borderId="25" xfId="53" applyNumberFormat="1" applyFont="1" applyFill="1" applyBorder="1" applyAlignment="1" applyProtection="1">
      <alignment horizontal="center" vertical="top" wrapText="1"/>
      <protection hidden="1"/>
    </xf>
    <xf numFmtId="181" fontId="37" fillId="35" borderId="25" xfId="0" applyNumberFormat="1" applyFont="1" applyFill="1" applyBorder="1" applyAlignment="1" applyProtection="1">
      <alignment horizontal="center" vertical="top" wrapText="1"/>
      <protection hidden="1"/>
    </xf>
    <xf numFmtId="1" fontId="37" fillId="35" borderId="25" xfId="53" applyNumberFormat="1" applyFont="1" applyFill="1" applyBorder="1" applyAlignment="1" applyProtection="1">
      <alignment horizontal="center" vertical="top" wrapText="1"/>
      <protection hidden="1"/>
    </xf>
    <xf numFmtId="10" fontId="38" fillId="35" borderId="25" xfId="53" applyNumberFormat="1" applyFont="1" applyFill="1" applyBorder="1" applyAlignment="1" applyProtection="1">
      <alignment horizontal="center" vertical="top" wrapText="1"/>
      <protection hidden="1"/>
    </xf>
    <xf numFmtId="0" fontId="37" fillId="35" borderId="53" xfId="0" applyFont="1" applyFill="1" applyBorder="1" applyAlignment="1" applyProtection="1">
      <alignment horizontal="center" vertical="top" wrapText="1"/>
      <protection hidden="1"/>
    </xf>
    <xf numFmtId="10" fontId="38" fillId="35" borderId="54" xfId="0" applyNumberFormat="1" applyFont="1" applyFill="1" applyBorder="1" applyAlignment="1" applyProtection="1">
      <alignment horizontal="center" vertical="top" wrapText="1"/>
      <protection hidden="1"/>
    </xf>
    <xf numFmtId="0" fontId="37" fillId="35" borderId="54" xfId="0" applyFont="1" applyFill="1" applyBorder="1" applyAlignment="1" applyProtection="1">
      <alignment horizontal="left" vertical="top" wrapText="1" indent="2"/>
      <protection hidden="1"/>
    </xf>
    <xf numFmtId="10" fontId="37" fillId="35" borderId="54" xfId="53" applyNumberFormat="1" applyFont="1" applyFill="1" applyBorder="1" applyAlignment="1" applyProtection="1">
      <alignment horizontal="center" vertical="top" wrapText="1"/>
      <protection hidden="1"/>
    </xf>
    <xf numFmtId="181" fontId="37" fillId="35" borderId="54" xfId="0" applyNumberFormat="1" applyFont="1" applyFill="1" applyBorder="1" applyAlignment="1" applyProtection="1">
      <alignment horizontal="center" vertical="top" wrapText="1"/>
      <protection hidden="1"/>
    </xf>
    <xf numFmtId="10" fontId="38" fillId="35" borderId="54" xfId="53" applyNumberFormat="1" applyFont="1" applyFill="1" applyBorder="1" applyAlignment="1" applyProtection="1">
      <alignment horizontal="center" vertical="top" wrapText="1"/>
      <protection hidden="1"/>
    </xf>
    <xf numFmtId="1" fontId="37" fillId="35" borderId="54" xfId="53" applyNumberFormat="1" applyFont="1" applyFill="1" applyBorder="1" applyAlignment="1" applyProtection="1">
      <alignment horizontal="center" vertical="top" wrapText="1"/>
      <protection hidden="1"/>
    </xf>
    <xf numFmtId="1" fontId="38" fillId="35" borderId="25" xfId="0" applyNumberFormat="1" applyFont="1" applyFill="1" applyBorder="1" applyAlignment="1" applyProtection="1">
      <alignment horizontal="left" vertical="top" wrapText="1" indent="2"/>
      <protection hidden="1"/>
    </xf>
    <xf numFmtId="1" fontId="38" fillId="35" borderId="54" xfId="0" applyNumberFormat="1" applyFont="1" applyFill="1" applyBorder="1" applyAlignment="1" applyProtection="1">
      <alignment horizontal="left" vertical="top" wrapText="1" indent="2"/>
      <protection hidden="1"/>
    </xf>
    <xf numFmtId="0" fontId="37" fillId="35" borderId="55" xfId="0" applyFont="1" applyFill="1" applyBorder="1" applyAlignment="1" applyProtection="1">
      <alignment horizontal="center" vertical="top" wrapText="1"/>
      <protection hidden="1"/>
    </xf>
    <xf numFmtId="10" fontId="38" fillId="35" borderId="28" xfId="53" applyNumberFormat="1" applyFont="1" applyFill="1" applyBorder="1" applyAlignment="1" applyProtection="1">
      <alignment horizontal="center" vertical="top" wrapText="1"/>
      <protection hidden="1"/>
    </xf>
    <xf numFmtId="1" fontId="38" fillId="35" borderId="28" xfId="0" applyNumberFormat="1" applyFont="1" applyFill="1" applyBorder="1" applyAlignment="1" applyProtection="1">
      <alignment horizontal="left" vertical="top" wrapText="1" indent="2"/>
      <protection hidden="1"/>
    </xf>
    <xf numFmtId="181" fontId="37" fillId="35" borderId="28" xfId="0" applyNumberFormat="1" applyFont="1" applyFill="1" applyBorder="1" applyAlignment="1" applyProtection="1">
      <alignment horizontal="center" vertical="top" wrapText="1"/>
      <protection hidden="1"/>
    </xf>
    <xf numFmtId="1" fontId="37" fillId="35" borderId="28" xfId="53" applyNumberFormat="1" applyFont="1" applyFill="1" applyBorder="1" applyAlignment="1" applyProtection="1">
      <alignment horizontal="center" vertical="top" wrapText="1"/>
      <protection hidden="1"/>
    </xf>
    <xf numFmtId="0" fontId="37" fillId="35" borderId="0" xfId="0" applyFont="1" applyFill="1" applyBorder="1" applyAlignment="1" applyProtection="1">
      <alignment horizontal="center" vertical="top" wrapText="1"/>
      <protection hidden="1"/>
    </xf>
    <xf numFmtId="10" fontId="37" fillId="35" borderId="0" xfId="0" applyNumberFormat="1" applyFont="1" applyFill="1" applyBorder="1" applyAlignment="1" applyProtection="1">
      <alignment horizontal="center" vertical="top" wrapText="1"/>
      <protection hidden="1"/>
    </xf>
    <xf numFmtId="0" fontId="37" fillId="35" borderId="0" xfId="0" applyFont="1" applyFill="1" applyBorder="1" applyAlignment="1" applyProtection="1">
      <alignment horizontal="left" vertical="top" wrapText="1" indent="2"/>
      <protection hidden="1"/>
    </xf>
    <xf numFmtId="10" fontId="37" fillId="35" borderId="0" xfId="53" applyNumberFormat="1" applyFont="1" applyFill="1" applyBorder="1" applyAlignment="1" applyProtection="1">
      <alignment horizontal="center" vertical="top" wrapText="1"/>
      <protection hidden="1"/>
    </xf>
    <xf numFmtId="181" fontId="37" fillId="35" borderId="0" xfId="0" applyNumberFormat="1" applyFont="1" applyFill="1" applyBorder="1" applyAlignment="1" applyProtection="1">
      <alignment horizontal="center" vertical="top" wrapText="1"/>
      <protection hidden="1"/>
    </xf>
    <xf numFmtId="0" fontId="35" fillId="35" borderId="56" xfId="0" applyFont="1" applyFill="1" applyBorder="1" applyAlignment="1" applyProtection="1">
      <alignment/>
      <protection hidden="1"/>
    </xf>
    <xf numFmtId="0" fontId="35" fillId="35" borderId="52" xfId="0" applyFont="1" applyFill="1" applyBorder="1" applyAlignment="1" applyProtection="1">
      <alignment/>
      <protection hidden="1"/>
    </xf>
    <xf numFmtId="0" fontId="35" fillId="35" borderId="55" xfId="0" applyFont="1" applyFill="1" applyBorder="1" applyAlignment="1" applyProtection="1">
      <alignment/>
      <protection hidden="1"/>
    </xf>
    <xf numFmtId="0" fontId="35" fillId="35" borderId="57" xfId="0" applyFont="1" applyFill="1" applyBorder="1" applyAlignment="1" applyProtection="1">
      <alignment/>
      <protection hidden="1"/>
    </xf>
    <xf numFmtId="0" fontId="35" fillId="35" borderId="42" xfId="0" applyFont="1" applyFill="1" applyBorder="1" applyAlignment="1" applyProtection="1">
      <alignment/>
      <protection hidden="1"/>
    </xf>
    <xf numFmtId="0" fontId="35" fillId="35" borderId="0" xfId="0" applyFont="1" applyFill="1" applyBorder="1" applyAlignment="1" applyProtection="1">
      <alignment horizontal="center"/>
      <protection hidden="1"/>
    </xf>
    <xf numFmtId="0" fontId="35" fillId="35" borderId="41" xfId="0" applyFont="1" applyFill="1" applyBorder="1" applyAlignment="1" applyProtection="1">
      <alignment/>
      <protection hidden="1"/>
    </xf>
    <xf numFmtId="0" fontId="35" fillId="35" borderId="46" xfId="0" applyFont="1" applyFill="1" applyBorder="1" applyAlignment="1" applyProtection="1">
      <alignment wrapText="1"/>
      <protection hidden="1"/>
    </xf>
    <xf numFmtId="0" fontId="35" fillId="35" borderId="31" xfId="0" applyFont="1" applyFill="1" applyBorder="1" applyAlignment="1" applyProtection="1">
      <alignment horizontal="left"/>
      <protection hidden="1"/>
    </xf>
    <xf numFmtId="0" fontId="35" fillId="35" borderId="25" xfId="0" applyFont="1" applyFill="1" applyBorder="1" applyAlignment="1" applyProtection="1">
      <alignment horizontal="left"/>
      <protection hidden="1"/>
    </xf>
    <xf numFmtId="0" fontId="35" fillId="35" borderId="27" xfId="0" applyFont="1" applyFill="1" applyBorder="1" applyAlignment="1" applyProtection="1">
      <alignment/>
      <protection hidden="1"/>
    </xf>
    <xf numFmtId="0" fontId="35" fillId="35" borderId="27" xfId="0" applyFont="1" applyFill="1" applyBorder="1" applyAlignment="1" applyProtection="1">
      <alignment horizontal="center"/>
      <protection hidden="1"/>
    </xf>
    <xf numFmtId="0" fontId="35" fillId="35" borderId="28" xfId="0" applyFont="1" applyFill="1" applyBorder="1" applyAlignment="1" applyProtection="1">
      <alignment horizontal="left"/>
      <protection hidden="1"/>
    </xf>
    <xf numFmtId="0" fontId="35" fillId="35" borderId="43" xfId="0" applyFont="1" applyFill="1" applyBorder="1" applyAlignment="1" applyProtection="1">
      <alignment/>
      <protection hidden="1"/>
    </xf>
    <xf numFmtId="9" fontId="35" fillId="35" borderId="24" xfId="0" applyNumberFormat="1" applyFont="1" applyFill="1" applyBorder="1" applyAlignment="1" applyProtection="1">
      <alignment/>
      <protection hidden="1"/>
    </xf>
    <xf numFmtId="0" fontId="35" fillId="35" borderId="25" xfId="0" applyFont="1" applyFill="1" applyBorder="1" applyAlignment="1" applyProtection="1">
      <alignment/>
      <protection hidden="1"/>
    </xf>
    <xf numFmtId="9" fontId="35" fillId="35" borderId="26" xfId="0" applyNumberFormat="1" applyFont="1" applyFill="1" applyBorder="1" applyAlignment="1" applyProtection="1">
      <alignment/>
      <protection hidden="1"/>
    </xf>
    <xf numFmtId="0" fontId="35" fillId="35" borderId="28" xfId="0" applyFont="1" applyFill="1" applyBorder="1" applyAlignment="1" applyProtection="1">
      <alignment/>
      <protection hidden="1"/>
    </xf>
    <xf numFmtId="0" fontId="34" fillId="35" borderId="0" xfId="0" applyFont="1" applyFill="1" applyAlignment="1" applyProtection="1">
      <alignment/>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0" fontId="34" fillId="35" borderId="58" xfId="0" applyFont="1" applyFill="1" applyBorder="1" applyAlignment="1" applyProtection="1">
      <alignment horizontal="right" vertical="center" wrapText="1"/>
      <protection hidden="1"/>
    </xf>
    <xf numFmtId="0" fontId="36" fillId="35" borderId="59" xfId="0" applyFont="1" applyFill="1" applyBorder="1" applyAlignment="1" applyProtection="1">
      <alignment/>
      <protection hidden="1"/>
    </xf>
    <xf numFmtId="1" fontId="34" fillId="35" borderId="49" xfId="0" applyNumberFormat="1" applyFont="1" applyFill="1" applyBorder="1" applyAlignment="1" applyProtection="1">
      <alignment horizontal="center"/>
      <protection hidden="1"/>
    </xf>
    <xf numFmtId="0" fontId="36" fillId="35" borderId="0" xfId="0" applyFont="1" applyFill="1" applyBorder="1" applyAlignment="1" applyProtection="1">
      <alignment vertical="center"/>
      <protection hidden="1"/>
    </xf>
    <xf numFmtId="0" fontId="36" fillId="35" borderId="0" xfId="0" applyFont="1" applyFill="1" applyAlignment="1" applyProtection="1">
      <alignment/>
      <protection hidden="1"/>
    </xf>
    <xf numFmtId="0" fontId="35" fillId="35" borderId="15" xfId="0" applyFont="1" applyFill="1" applyBorder="1" applyAlignment="1" applyProtection="1">
      <alignment/>
      <protection hidden="1"/>
    </xf>
    <xf numFmtId="0" fontId="36" fillId="35" borderId="14" xfId="0" applyFont="1" applyFill="1" applyBorder="1" applyAlignment="1" applyProtection="1">
      <alignment/>
      <protection hidden="1"/>
    </xf>
    <xf numFmtId="0" fontId="35" fillId="35" borderId="16" xfId="0" applyFont="1" applyFill="1" applyBorder="1" applyAlignment="1" applyProtection="1">
      <alignment/>
      <protection hidden="1"/>
    </xf>
    <xf numFmtId="0" fontId="34" fillId="35" borderId="21" xfId="0" applyFont="1" applyFill="1" applyBorder="1" applyAlignment="1" applyProtection="1">
      <alignment horizontal="right" wrapText="1"/>
      <protection hidden="1"/>
    </xf>
    <xf numFmtId="0" fontId="36" fillId="35" borderId="60" xfId="0" applyFont="1" applyFill="1" applyBorder="1" applyAlignment="1" applyProtection="1">
      <alignment/>
      <protection hidden="1"/>
    </xf>
    <xf numFmtId="0" fontId="34" fillId="35" borderId="60" xfId="0" applyFont="1" applyFill="1" applyBorder="1" applyAlignment="1" applyProtection="1">
      <alignment horizontal="center" vertical="center"/>
      <protection hidden="1"/>
    </xf>
    <xf numFmtId="0" fontId="35" fillId="35" borderId="60" xfId="0" applyFont="1" applyFill="1" applyBorder="1" applyAlignment="1" applyProtection="1">
      <alignment/>
      <protection hidden="1"/>
    </xf>
    <xf numFmtId="0" fontId="35" fillId="35" borderId="61" xfId="0" applyFont="1" applyFill="1" applyBorder="1" applyAlignment="1" applyProtection="1">
      <alignment/>
      <protection hidden="1"/>
    </xf>
    <xf numFmtId="0" fontId="35" fillId="35" borderId="62" xfId="0" applyFont="1" applyFill="1" applyBorder="1" applyAlignment="1" applyProtection="1">
      <alignment/>
      <protection hidden="1"/>
    </xf>
    <xf numFmtId="0" fontId="34" fillId="35" borderId="22" xfId="0" applyFont="1" applyFill="1" applyBorder="1" applyAlignment="1" applyProtection="1">
      <alignment horizontal="right"/>
      <protection hidden="1"/>
    </xf>
    <xf numFmtId="0" fontId="34" fillId="35" borderId="0" xfId="0" applyFont="1" applyFill="1" applyBorder="1" applyAlignment="1" applyProtection="1">
      <alignment horizontal="center" vertical="center"/>
      <protection hidden="1"/>
    </xf>
    <xf numFmtId="0" fontId="35" fillId="35" borderId="19" xfId="0" applyFont="1" applyFill="1" applyBorder="1" applyAlignment="1" applyProtection="1">
      <alignment/>
      <protection hidden="1"/>
    </xf>
    <xf numFmtId="0" fontId="35" fillId="35" borderId="63" xfId="0" applyFont="1" applyFill="1" applyBorder="1" applyAlignment="1" applyProtection="1">
      <alignment/>
      <protection hidden="1"/>
    </xf>
    <xf numFmtId="0" fontId="34" fillId="35" borderId="64" xfId="0" applyFont="1" applyFill="1" applyBorder="1" applyAlignment="1" applyProtection="1">
      <alignment horizontal="right"/>
      <protection hidden="1"/>
    </xf>
    <xf numFmtId="0" fontId="36" fillId="35" borderId="65" xfId="0" applyFont="1" applyFill="1" applyBorder="1" applyAlignment="1" applyProtection="1">
      <alignment/>
      <protection hidden="1"/>
    </xf>
    <xf numFmtId="0" fontId="34" fillId="35" borderId="65" xfId="0" applyFont="1" applyFill="1" applyBorder="1" applyAlignment="1" applyProtection="1">
      <alignment horizontal="center" vertical="center"/>
      <protection hidden="1"/>
    </xf>
    <xf numFmtId="0" fontId="35" fillId="35" borderId="65" xfId="0" applyFont="1" applyFill="1" applyBorder="1" applyAlignment="1" applyProtection="1">
      <alignment/>
      <protection hidden="1"/>
    </xf>
    <xf numFmtId="0" fontId="35" fillId="35" borderId="66" xfId="0" applyFont="1" applyFill="1" applyBorder="1" applyAlignment="1" applyProtection="1">
      <alignment/>
      <protection hidden="1"/>
    </xf>
    <xf numFmtId="0" fontId="35" fillId="35" borderId="67" xfId="0" applyFont="1" applyFill="1" applyBorder="1" applyAlignment="1" applyProtection="1">
      <alignment/>
      <protection hidden="1"/>
    </xf>
    <xf numFmtId="0" fontId="34" fillId="35" borderId="0" xfId="0" applyFont="1" applyFill="1" applyBorder="1" applyAlignment="1" applyProtection="1">
      <alignment horizontal="right" wrapText="1"/>
      <protection hidden="1"/>
    </xf>
    <xf numFmtId="0" fontId="41" fillId="35" borderId="47" xfId="0" applyFont="1" applyFill="1" applyBorder="1" applyAlignment="1" applyProtection="1">
      <alignment/>
      <protection hidden="1"/>
    </xf>
    <xf numFmtId="0" fontId="41" fillId="35" borderId="48" xfId="0" applyFont="1" applyFill="1" applyBorder="1" applyAlignment="1" applyProtection="1">
      <alignment/>
      <protection hidden="1"/>
    </xf>
    <xf numFmtId="0" fontId="41" fillId="35" borderId="49" xfId="0" applyFont="1" applyFill="1" applyBorder="1" applyAlignment="1" applyProtection="1">
      <alignment/>
      <protection hidden="1"/>
    </xf>
    <xf numFmtId="180" fontId="35" fillId="35" borderId="0" xfId="0" applyNumberFormat="1" applyFont="1" applyFill="1" applyAlignment="1" applyProtection="1">
      <alignment/>
      <protection hidden="1"/>
    </xf>
    <xf numFmtId="0" fontId="41" fillId="35" borderId="0" xfId="0" applyFont="1" applyFill="1" applyBorder="1" applyAlignment="1" applyProtection="1">
      <alignment/>
      <protection hidden="1"/>
    </xf>
    <xf numFmtId="0" fontId="35" fillId="35" borderId="0" xfId="0" applyFont="1" applyFill="1" applyAlignment="1" applyProtection="1">
      <alignment horizontal="left"/>
      <protection hidden="1"/>
    </xf>
    <xf numFmtId="178" fontId="35" fillId="35" borderId="0" xfId="0" applyNumberFormat="1" applyFont="1" applyFill="1" applyBorder="1" applyAlignment="1" applyProtection="1">
      <alignment horizontal="center" wrapText="1"/>
      <protection hidden="1"/>
    </xf>
    <xf numFmtId="178" fontId="34" fillId="35" borderId="0" xfId="0" applyNumberFormat="1" applyFont="1" applyFill="1" applyBorder="1" applyAlignment="1" applyProtection="1">
      <alignment horizontal="center" wrapText="1"/>
      <protection hidden="1"/>
    </xf>
    <xf numFmtId="181" fontId="35" fillId="35" borderId="0" xfId="0" applyNumberFormat="1" applyFont="1" applyFill="1" applyAlignment="1" applyProtection="1">
      <alignment/>
      <protection hidden="1"/>
    </xf>
    <xf numFmtId="211" fontId="35" fillId="35" borderId="0" xfId="0" applyNumberFormat="1" applyFont="1" applyFill="1" applyAlignment="1" applyProtection="1">
      <alignment/>
      <protection hidden="1"/>
    </xf>
    <xf numFmtId="0" fontId="36" fillId="35" borderId="0" xfId="0" applyFont="1" applyFill="1" applyAlignment="1" applyProtection="1">
      <alignment horizontal="left"/>
      <protection hidden="1"/>
    </xf>
    <xf numFmtId="0" fontId="35" fillId="35" borderId="15" xfId="0" applyFont="1" applyFill="1" applyBorder="1" applyAlignment="1" applyProtection="1">
      <alignment horizontal="left"/>
      <protection hidden="1"/>
    </xf>
    <xf numFmtId="191" fontId="35" fillId="35" borderId="14" xfId="0" applyNumberFormat="1" applyFont="1" applyFill="1" applyBorder="1" applyAlignment="1" applyProtection="1">
      <alignment horizontal="center"/>
      <protection hidden="1"/>
    </xf>
    <xf numFmtId="0" fontId="35" fillId="35" borderId="14" xfId="0" applyFont="1" applyFill="1" applyBorder="1" applyAlignment="1" applyProtection="1">
      <alignment/>
      <protection hidden="1"/>
    </xf>
    <xf numFmtId="0" fontId="34" fillId="35" borderId="0" xfId="0" applyFont="1" applyFill="1" applyAlignment="1" applyProtection="1">
      <alignment horizontal="right"/>
      <protection hidden="1"/>
    </xf>
    <xf numFmtId="0" fontId="36" fillId="35" borderId="0" xfId="0" applyNumberFormat="1" applyFont="1" applyFill="1" applyBorder="1" applyAlignment="1" applyProtection="1">
      <alignment/>
      <protection hidden="1"/>
    </xf>
    <xf numFmtId="0" fontId="34" fillId="35" borderId="0" xfId="0" applyFont="1" applyFill="1" applyBorder="1" applyAlignment="1" applyProtection="1">
      <alignment/>
      <protection hidden="1"/>
    </xf>
    <xf numFmtId="0" fontId="35" fillId="35" borderId="14" xfId="0" applyFont="1" applyFill="1" applyBorder="1" applyAlignment="1" applyProtection="1">
      <alignment horizontal="left"/>
      <protection hidden="1"/>
    </xf>
    <xf numFmtId="0" fontId="35" fillId="35" borderId="16" xfId="0" applyFont="1" applyFill="1" applyBorder="1" applyAlignment="1" applyProtection="1">
      <alignment horizontal="left"/>
      <protection hidden="1"/>
    </xf>
    <xf numFmtId="0" fontId="35" fillId="35" borderId="0" xfId="0" applyFont="1" applyFill="1" applyAlignment="1" applyProtection="1">
      <alignment horizontal="right"/>
      <protection hidden="1"/>
    </xf>
    <xf numFmtId="0" fontId="34" fillId="35" borderId="0" xfId="0" applyFont="1" applyFill="1" applyAlignment="1" applyProtection="1">
      <alignment horizontal="center"/>
      <protection hidden="1"/>
    </xf>
    <xf numFmtId="0" fontId="34" fillId="35" borderId="22" xfId="0" applyFont="1" applyFill="1" applyBorder="1" applyAlignment="1" applyProtection="1">
      <alignment horizontal="right" vertical="center" wrapText="1"/>
      <protection hidden="1"/>
    </xf>
    <xf numFmtId="0" fontId="35" fillId="35" borderId="18" xfId="0" applyFont="1" applyFill="1" applyBorder="1" applyAlignment="1" applyProtection="1">
      <alignment horizontal="left"/>
      <protection hidden="1"/>
    </xf>
    <xf numFmtId="0" fontId="35" fillId="35" borderId="0" xfId="0" applyFont="1" applyFill="1" applyBorder="1" applyAlignment="1" applyProtection="1">
      <alignment horizontal="left"/>
      <protection hidden="1"/>
    </xf>
    <xf numFmtId="213" fontId="35" fillId="35" borderId="14" xfId="0" applyNumberFormat="1" applyFont="1" applyFill="1" applyBorder="1" applyAlignment="1" applyProtection="1">
      <alignment horizontal="center"/>
      <protection hidden="1"/>
    </xf>
    <xf numFmtId="0" fontId="34" fillId="35" borderId="0" xfId="0" applyFont="1" applyFill="1" applyBorder="1" applyAlignment="1" applyProtection="1">
      <alignment horizontal="right" vertical="center" wrapText="1"/>
      <protection hidden="1"/>
    </xf>
    <xf numFmtId="2" fontId="35" fillId="35" borderId="0" xfId="0" applyNumberFormat="1" applyFont="1" applyFill="1" applyAlignment="1" applyProtection="1">
      <alignment horizontal="center"/>
      <protection hidden="1"/>
    </xf>
    <xf numFmtId="2" fontId="35" fillId="35" borderId="0" xfId="53" applyNumberFormat="1" applyFont="1" applyFill="1" applyBorder="1" applyAlignment="1" applyProtection="1">
      <alignment horizontal="center"/>
      <protection hidden="1"/>
    </xf>
    <xf numFmtId="172" fontId="35" fillId="35" borderId="0" xfId="53" applyNumberFormat="1" applyFont="1" applyFill="1" applyBorder="1" applyAlignment="1" applyProtection="1">
      <alignment horizontal="center"/>
      <protection hidden="1"/>
    </xf>
    <xf numFmtId="1" fontId="35" fillId="35" borderId="0" xfId="53" applyNumberFormat="1" applyFont="1" applyFill="1" applyBorder="1" applyAlignment="1" applyProtection="1">
      <alignment horizontal="center"/>
      <protection hidden="1"/>
    </xf>
    <xf numFmtId="173" fontId="35" fillId="35" borderId="0" xfId="53" applyNumberFormat="1" applyFont="1" applyFill="1" applyBorder="1" applyAlignment="1" applyProtection="1">
      <alignment horizontal="center"/>
      <protection hidden="1"/>
    </xf>
    <xf numFmtId="0" fontId="34" fillId="35" borderId="0" xfId="0" applyFont="1" applyFill="1" applyAlignment="1" applyProtection="1">
      <alignment wrapText="1"/>
      <protection hidden="1"/>
    </xf>
    <xf numFmtId="2" fontId="35" fillId="35" borderId="0" xfId="0" applyNumberFormat="1" applyFont="1" applyFill="1" applyBorder="1" applyAlignment="1" applyProtection="1">
      <alignment horizontal="center"/>
      <protection hidden="1"/>
    </xf>
    <xf numFmtId="9" fontId="34" fillId="35" borderId="0" xfId="0" applyNumberFormat="1" applyFont="1" applyFill="1" applyBorder="1" applyAlignment="1" applyProtection="1">
      <alignment horizontal="center"/>
      <protection hidden="1"/>
    </xf>
    <xf numFmtId="0" fontId="36" fillId="35" borderId="0" xfId="0" applyFont="1" applyFill="1" applyAlignment="1" applyProtection="1">
      <alignment horizontal="center"/>
      <protection hidden="1"/>
    </xf>
    <xf numFmtId="1" fontId="34" fillId="35" borderId="0" xfId="0" applyNumberFormat="1" applyFont="1" applyFill="1" applyBorder="1" applyAlignment="1" applyProtection="1">
      <alignment horizontal="center"/>
      <protection hidden="1"/>
    </xf>
    <xf numFmtId="0" fontId="34" fillId="35" borderId="22" xfId="0" applyFont="1" applyFill="1" applyBorder="1" applyAlignment="1" applyProtection="1">
      <alignment horizontal="right" wrapText="1"/>
      <protection hidden="1"/>
    </xf>
    <xf numFmtId="9" fontId="35" fillId="35" borderId="0" xfId="53" applyFont="1" applyFill="1" applyAlignment="1" applyProtection="1">
      <alignment/>
      <protection hidden="1"/>
    </xf>
    <xf numFmtId="0" fontId="34" fillId="35" borderId="22" xfId="0" applyFont="1" applyFill="1" applyBorder="1" applyAlignment="1" applyProtection="1">
      <alignment horizontal="left" wrapText="1"/>
      <protection hidden="1"/>
    </xf>
    <xf numFmtId="2" fontId="35" fillId="35" borderId="15" xfId="0" applyNumberFormat="1" applyFont="1" applyFill="1" applyBorder="1" applyAlignment="1" applyProtection="1">
      <alignment/>
      <protection hidden="1"/>
    </xf>
    <xf numFmtId="212" fontId="35" fillId="35" borderId="0" xfId="0" applyNumberFormat="1" applyFont="1" applyFill="1" applyAlignment="1" applyProtection="1">
      <alignment/>
      <protection hidden="1"/>
    </xf>
    <xf numFmtId="0" fontId="34" fillId="35" borderId="0" xfId="0" applyFont="1" applyFill="1" applyAlignment="1" applyProtection="1">
      <alignment/>
      <protection hidden="1"/>
    </xf>
    <xf numFmtId="191" fontId="35" fillId="35" borderId="0" xfId="0" applyNumberFormat="1" applyFont="1" applyFill="1" applyBorder="1" applyAlignment="1" applyProtection="1">
      <alignment/>
      <protection hidden="1"/>
    </xf>
    <xf numFmtId="0" fontId="36" fillId="35" borderId="0" xfId="0" applyFont="1" applyFill="1" applyAlignment="1" applyProtection="1">
      <alignment horizontal="right"/>
      <protection hidden="1"/>
    </xf>
    <xf numFmtId="0" fontId="35" fillId="35" borderId="68" xfId="0" applyFont="1" applyFill="1" applyBorder="1" applyAlignment="1" applyProtection="1">
      <alignment horizontal="center" vertical="top" wrapText="1"/>
      <protection hidden="1"/>
    </xf>
    <xf numFmtId="0" fontId="36" fillId="35" borderId="69" xfId="0" applyFont="1" applyFill="1" applyBorder="1" applyAlignment="1" applyProtection="1">
      <alignment/>
      <protection hidden="1"/>
    </xf>
    <xf numFmtId="0" fontId="35" fillId="35" borderId="46" xfId="0" applyFont="1" applyFill="1" applyBorder="1" applyAlignment="1" applyProtection="1">
      <alignment horizontal="center"/>
      <protection hidden="1"/>
    </xf>
    <xf numFmtId="0" fontId="35" fillId="35" borderId="70" xfId="0" applyFont="1" applyFill="1" applyBorder="1" applyAlignment="1" applyProtection="1">
      <alignment horizontal="right" wrapText="1"/>
      <protection hidden="1"/>
    </xf>
    <xf numFmtId="0" fontId="36" fillId="35" borderId="71" xfId="0" applyFont="1" applyFill="1" applyBorder="1" applyAlignment="1" applyProtection="1">
      <alignment/>
      <protection hidden="1"/>
    </xf>
    <xf numFmtId="189" fontId="35" fillId="35" borderId="12" xfId="0" applyNumberFormat="1" applyFont="1" applyFill="1" applyBorder="1" applyAlignment="1" applyProtection="1">
      <alignment horizontal="center"/>
      <protection hidden="1"/>
    </xf>
    <xf numFmtId="0" fontId="35" fillId="35" borderId="72" xfId="0" applyFont="1" applyFill="1" applyBorder="1" applyAlignment="1" applyProtection="1">
      <alignment horizontal="right" wrapText="1"/>
      <protection hidden="1"/>
    </xf>
    <xf numFmtId="0" fontId="36" fillId="35" borderId="19" xfId="0" applyFont="1" applyFill="1" applyBorder="1" applyAlignment="1" applyProtection="1">
      <alignment/>
      <protection hidden="1"/>
    </xf>
    <xf numFmtId="0" fontId="36" fillId="35" borderId="16" xfId="0" applyFont="1" applyFill="1" applyBorder="1" applyAlignment="1" applyProtection="1">
      <alignment/>
      <protection hidden="1"/>
    </xf>
    <xf numFmtId="2" fontId="35" fillId="35" borderId="16" xfId="0" applyNumberFormat="1" applyFont="1" applyFill="1" applyBorder="1" applyAlignment="1" applyProtection="1">
      <alignment horizontal="center"/>
      <protection hidden="1"/>
    </xf>
    <xf numFmtId="178" fontId="35" fillId="35" borderId="14" xfId="0" applyNumberFormat="1" applyFont="1" applyFill="1" applyBorder="1" applyAlignment="1" applyProtection="1">
      <alignment horizontal="center" wrapText="1"/>
      <protection hidden="1"/>
    </xf>
    <xf numFmtId="191" fontId="35" fillId="35" borderId="16" xfId="0" applyNumberFormat="1" applyFont="1" applyFill="1" applyBorder="1" applyAlignment="1" applyProtection="1">
      <alignment horizontal="center"/>
      <protection hidden="1"/>
    </xf>
    <xf numFmtId="0" fontId="35" fillId="35" borderId="65" xfId="0" applyFont="1" applyFill="1" applyBorder="1" applyAlignment="1" applyProtection="1">
      <alignment horizontal="center"/>
      <protection hidden="1"/>
    </xf>
    <xf numFmtId="0" fontId="35" fillId="35" borderId="72" xfId="0" applyFont="1" applyFill="1" applyBorder="1" applyAlignment="1" applyProtection="1">
      <alignment horizontal="center" vertical="top" wrapText="1"/>
      <protection hidden="1"/>
    </xf>
    <xf numFmtId="10" fontId="35" fillId="35" borderId="0" xfId="53" applyNumberFormat="1" applyFont="1" applyFill="1" applyBorder="1" applyAlignment="1" applyProtection="1">
      <alignment horizontal="center"/>
      <protection hidden="1"/>
    </xf>
    <xf numFmtId="0" fontId="35" fillId="35" borderId="0" xfId="0" applyFont="1" applyFill="1" applyBorder="1" applyAlignment="1" applyProtection="1">
      <alignment horizontal="center" vertical="top" wrapText="1"/>
      <protection hidden="1"/>
    </xf>
    <xf numFmtId="0" fontId="35" fillId="35" borderId="72" xfId="0" applyFont="1" applyFill="1" applyBorder="1" applyAlignment="1" applyProtection="1">
      <alignment horizontal="center" vertical="center" wrapText="1"/>
      <protection hidden="1"/>
    </xf>
    <xf numFmtId="0" fontId="36" fillId="35" borderId="73" xfId="0" applyFont="1" applyFill="1" applyBorder="1" applyAlignment="1" applyProtection="1">
      <alignment/>
      <protection hidden="1"/>
    </xf>
    <xf numFmtId="0" fontId="35" fillId="35" borderId="0" xfId="0" applyFont="1" applyFill="1" applyBorder="1" applyAlignment="1" applyProtection="1">
      <alignment horizontal="center" wrapText="1"/>
      <protection hidden="1"/>
    </xf>
    <xf numFmtId="178" fontId="35" fillId="35" borderId="12" xfId="0" applyNumberFormat="1" applyFont="1" applyFill="1" applyBorder="1" applyAlignment="1" applyProtection="1">
      <alignment horizontal="center" wrapText="1"/>
      <protection hidden="1"/>
    </xf>
    <xf numFmtId="0" fontId="34" fillId="35" borderId="74" xfId="0" applyFont="1" applyFill="1" applyBorder="1" applyAlignment="1" applyProtection="1">
      <alignment horizontal="center" vertical="center" wrapText="1"/>
      <protection hidden="1"/>
    </xf>
    <xf numFmtId="0" fontId="36" fillId="35" borderId="29" xfId="0" applyFont="1" applyFill="1" applyBorder="1" applyAlignment="1" applyProtection="1">
      <alignment/>
      <protection hidden="1"/>
    </xf>
    <xf numFmtId="0" fontId="35" fillId="35" borderId="19" xfId="0" applyFont="1" applyFill="1" applyBorder="1" applyAlignment="1" applyProtection="1">
      <alignment horizontal="left"/>
      <protection hidden="1"/>
    </xf>
    <xf numFmtId="0" fontId="35" fillId="35" borderId="75" xfId="0" applyFont="1" applyFill="1" applyBorder="1" applyAlignment="1" applyProtection="1">
      <alignment horizontal="center" vertical="center" wrapText="1"/>
      <protection hidden="1"/>
    </xf>
    <xf numFmtId="0" fontId="36" fillId="35" borderId="76" xfId="0" applyFont="1" applyFill="1" applyBorder="1" applyAlignment="1" applyProtection="1">
      <alignment/>
      <protection hidden="1"/>
    </xf>
    <xf numFmtId="1" fontId="35" fillId="35" borderId="10" xfId="0" applyNumberFormat="1" applyFont="1" applyFill="1" applyBorder="1" applyAlignment="1" applyProtection="1">
      <alignment horizontal="center" wrapText="1"/>
      <protection hidden="1"/>
    </xf>
    <xf numFmtId="0" fontId="35" fillId="35" borderId="17" xfId="0" applyFont="1" applyFill="1" applyBorder="1" applyAlignment="1" applyProtection="1">
      <alignment horizontal="left"/>
      <protection hidden="1"/>
    </xf>
    <xf numFmtId="0" fontId="35" fillId="35" borderId="10" xfId="0" applyFont="1" applyFill="1" applyBorder="1" applyAlignment="1" applyProtection="1">
      <alignment horizontal="left"/>
      <protection hidden="1"/>
    </xf>
    <xf numFmtId="0" fontId="35" fillId="35" borderId="11" xfId="0" applyFont="1" applyFill="1" applyBorder="1" applyAlignment="1" applyProtection="1">
      <alignment horizontal="left"/>
      <protection hidden="1"/>
    </xf>
    <xf numFmtId="0" fontId="35" fillId="35" borderId="20" xfId="0" applyFont="1" applyFill="1" applyBorder="1" applyAlignment="1" applyProtection="1">
      <alignment horizontal="left"/>
      <protection hidden="1"/>
    </xf>
    <xf numFmtId="0" fontId="35" fillId="35" borderId="12" xfId="0" applyFont="1" applyFill="1" applyBorder="1" applyAlignment="1" applyProtection="1">
      <alignment horizontal="left"/>
      <protection hidden="1"/>
    </xf>
    <xf numFmtId="0" fontId="35" fillId="35" borderId="13" xfId="0" applyFont="1" applyFill="1" applyBorder="1" applyAlignment="1" applyProtection="1">
      <alignment horizontal="left"/>
      <protection hidden="1"/>
    </xf>
    <xf numFmtId="0" fontId="35" fillId="35" borderId="70" xfId="0" applyFont="1" applyFill="1" applyBorder="1" applyAlignment="1" applyProtection="1">
      <alignment horizontal="center" vertical="center" wrapText="1"/>
      <protection hidden="1"/>
    </xf>
    <xf numFmtId="0" fontId="35" fillId="35" borderId="12" xfId="0" applyFont="1" applyFill="1" applyBorder="1" applyAlignment="1" applyProtection="1">
      <alignment horizontal="center"/>
      <protection hidden="1"/>
    </xf>
    <xf numFmtId="177" fontId="35" fillId="35" borderId="0" xfId="44" applyNumberFormat="1" applyFont="1" applyFill="1" applyBorder="1" applyAlignment="1" applyProtection="1">
      <alignment/>
      <protection hidden="1"/>
    </xf>
    <xf numFmtId="177" fontId="35" fillId="35" borderId="0" xfId="0" applyNumberFormat="1" applyFont="1" applyFill="1" applyAlignment="1" applyProtection="1">
      <alignment/>
      <protection hidden="1"/>
    </xf>
    <xf numFmtId="0" fontId="34" fillId="35" borderId="72" xfId="0" applyFont="1" applyFill="1" applyBorder="1" applyAlignment="1" applyProtection="1">
      <alignment horizontal="center" vertical="top" wrapText="1"/>
      <protection hidden="1"/>
    </xf>
    <xf numFmtId="0" fontId="35" fillId="35" borderId="75" xfId="0" applyFont="1" applyFill="1" applyBorder="1" applyAlignment="1" applyProtection="1">
      <alignment horizontal="center" vertical="top" wrapText="1"/>
      <protection hidden="1"/>
    </xf>
    <xf numFmtId="0" fontId="35" fillId="35" borderId="10" xfId="0" applyFont="1" applyFill="1" applyBorder="1" applyAlignment="1" applyProtection="1">
      <alignment horizontal="center"/>
      <protection hidden="1"/>
    </xf>
    <xf numFmtId="178" fontId="35" fillId="35" borderId="0" xfId="0" applyNumberFormat="1" applyFont="1" applyFill="1" applyAlignment="1" applyProtection="1">
      <alignment/>
      <protection hidden="1"/>
    </xf>
    <xf numFmtId="181" fontId="35" fillId="35" borderId="0" xfId="0" applyNumberFormat="1" applyFont="1" applyFill="1" applyBorder="1" applyAlignment="1" applyProtection="1">
      <alignment horizontal="center" vertical="center"/>
      <protection hidden="1"/>
    </xf>
    <xf numFmtId="181" fontId="35" fillId="35" borderId="10" xfId="0" applyNumberFormat="1" applyFont="1" applyFill="1" applyBorder="1" applyAlignment="1" applyProtection="1">
      <alignment horizontal="center"/>
      <protection hidden="1"/>
    </xf>
    <xf numFmtId="0" fontId="34" fillId="35" borderId="74" xfId="0" applyFont="1" applyFill="1" applyBorder="1" applyAlignment="1" applyProtection="1">
      <alignment horizontal="center"/>
      <protection hidden="1"/>
    </xf>
    <xf numFmtId="172" fontId="34" fillId="35" borderId="14" xfId="53" applyNumberFormat="1" applyFont="1" applyFill="1" applyBorder="1" applyAlignment="1" applyProtection="1">
      <alignment horizontal="center"/>
      <protection hidden="1"/>
    </xf>
    <xf numFmtId="0" fontId="35" fillId="35" borderId="72" xfId="0" applyFont="1" applyFill="1" applyBorder="1" applyAlignment="1" applyProtection="1">
      <alignment horizontal="left"/>
      <protection hidden="1"/>
    </xf>
    <xf numFmtId="0" fontId="36" fillId="35" borderId="19" xfId="0" applyFont="1" applyFill="1" applyBorder="1" applyAlignment="1" applyProtection="1">
      <alignment horizontal="left"/>
      <protection hidden="1"/>
    </xf>
    <xf numFmtId="172" fontId="34" fillId="35" borderId="0" xfId="53" applyNumberFormat="1" applyFont="1" applyFill="1" applyBorder="1" applyAlignment="1" applyProtection="1">
      <alignment horizontal="left"/>
      <protection hidden="1"/>
    </xf>
    <xf numFmtId="0" fontId="35" fillId="35" borderId="19" xfId="0" applyFont="1" applyFill="1" applyBorder="1" applyAlignment="1" applyProtection="1">
      <alignment/>
      <protection hidden="1"/>
    </xf>
    <xf numFmtId="0" fontId="35" fillId="35" borderId="72" xfId="0" applyFont="1" applyFill="1" applyBorder="1" applyAlignment="1" applyProtection="1">
      <alignment horizontal="left" wrapText="1"/>
      <protection hidden="1"/>
    </xf>
    <xf numFmtId="3" fontId="35" fillId="35" borderId="0" xfId="0" applyNumberFormat="1" applyFont="1" applyFill="1" applyBorder="1" applyAlignment="1" applyProtection="1">
      <alignment horizontal="center"/>
      <protection hidden="1"/>
    </xf>
    <xf numFmtId="0" fontId="35" fillId="35" borderId="70" xfId="0" applyFont="1" applyFill="1" applyBorder="1" applyAlignment="1" applyProtection="1">
      <alignment horizontal="left" wrapText="1"/>
      <protection hidden="1"/>
    </xf>
    <xf numFmtId="0" fontId="35" fillId="35" borderId="72" xfId="0" applyFont="1" applyFill="1" applyBorder="1" applyAlignment="1" applyProtection="1">
      <alignment/>
      <protection hidden="1"/>
    </xf>
    <xf numFmtId="10" fontId="35" fillId="35" borderId="0" xfId="53" applyNumberFormat="1" applyFont="1" applyFill="1" applyBorder="1" applyAlignment="1" applyProtection="1">
      <alignment horizontal="left"/>
      <protection hidden="1"/>
    </xf>
    <xf numFmtId="0" fontId="35" fillId="35" borderId="58" xfId="0" applyFont="1" applyFill="1" applyBorder="1" applyAlignment="1" applyProtection="1">
      <alignment horizontal="center" vertical="center" wrapText="1"/>
      <protection hidden="1"/>
    </xf>
    <xf numFmtId="178" fontId="35" fillId="35" borderId="77" xfId="0" applyNumberFormat="1" applyFont="1" applyFill="1" applyBorder="1" applyAlignment="1" applyProtection="1">
      <alignment horizontal="center" wrapText="1"/>
      <protection hidden="1"/>
    </xf>
    <xf numFmtId="0" fontId="35" fillId="35" borderId="0" xfId="0" applyFont="1" applyFill="1" applyBorder="1" applyAlignment="1" applyProtection="1">
      <alignment horizontal="center" vertical="center" wrapText="1"/>
      <protection hidden="1"/>
    </xf>
    <xf numFmtId="0" fontId="34" fillId="35" borderId="0" xfId="0" applyFont="1" applyFill="1" applyBorder="1" applyAlignment="1" applyProtection="1">
      <alignment horizontal="center" vertical="center" wrapText="1"/>
      <protection hidden="1"/>
    </xf>
    <xf numFmtId="0" fontId="36" fillId="35" borderId="30" xfId="0" applyFont="1" applyFill="1" applyBorder="1" applyAlignment="1" applyProtection="1">
      <alignment horizontal="center"/>
      <protection hidden="1"/>
    </xf>
    <xf numFmtId="0" fontId="35" fillId="35" borderId="46" xfId="0" applyFont="1" applyFill="1" applyBorder="1" applyAlignment="1" applyProtection="1">
      <alignment horizontal="center" vertical="top" wrapText="1"/>
      <protection hidden="1"/>
    </xf>
    <xf numFmtId="0" fontId="35" fillId="35" borderId="70" xfId="0" applyFont="1" applyFill="1" applyBorder="1" applyAlignment="1" applyProtection="1">
      <alignment horizontal="center" vertical="top" wrapText="1"/>
      <protection hidden="1"/>
    </xf>
    <xf numFmtId="0" fontId="36" fillId="35" borderId="13" xfId="0" applyFont="1" applyFill="1" applyBorder="1" applyAlignment="1" applyProtection="1">
      <alignment/>
      <protection hidden="1"/>
    </xf>
    <xf numFmtId="10" fontId="35" fillId="35" borderId="12" xfId="53" applyNumberFormat="1" applyFont="1" applyFill="1" applyBorder="1" applyAlignment="1" applyProtection="1">
      <alignment/>
      <protection hidden="1"/>
    </xf>
    <xf numFmtId="181" fontId="35" fillId="35" borderId="0" xfId="0" applyNumberFormat="1" applyFont="1" applyFill="1" applyBorder="1" applyAlignment="1" applyProtection="1">
      <alignment horizontal="center" vertical="top" wrapText="1"/>
      <protection hidden="1"/>
    </xf>
    <xf numFmtId="10" fontId="35" fillId="35" borderId="0" xfId="53" applyNumberFormat="1" applyFont="1" applyFill="1" applyBorder="1" applyAlignment="1" applyProtection="1">
      <alignment horizontal="center" vertical="top" wrapText="1"/>
      <protection hidden="1"/>
    </xf>
    <xf numFmtId="0" fontId="35" fillId="35" borderId="78" xfId="0" applyFont="1" applyFill="1" applyBorder="1" applyAlignment="1" applyProtection="1">
      <alignment horizontal="center" vertical="top" wrapText="1"/>
      <protection hidden="1"/>
    </xf>
    <xf numFmtId="0" fontId="36" fillId="35" borderId="79" xfId="0" applyFont="1" applyFill="1" applyBorder="1" applyAlignment="1" applyProtection="1">
      <alignment/>
      <protection hidden="1"/>
    </xf>
    <xf numFmtId="178" fontId="35" fillId="35" borderId="27" xfId="0" applyNumberFormat="1" applyFont="1" applyFill="1" applyBorder="1" applyAlignment="1" applyProtection="1">
      <alignment/>
      <protection hidden="1"/>
    </xf>
    <xf numFmtId="0" fontId="35" fillId="35" borderId="48" xfId="0" applyFont="1" applyFill="1" applyBorder="1" applyAlignment="1" applyProtection="1">
      <alignment horizontal="center" vertical="top" wrapText="1"/>
      <protection hidden="1"/>
    </xf>
    <xf numFmtId="178" fontId="35" fillId="35" borderId="48" xfId="0" applyNumberFormat="1" applyFont="1" applyFill="1" applyBorder="1" applyAlignment="1" applyProtection="1">
      <alignment/>
      <protection hidden="1"/>
    </xf>
    <xf numFmtId="178" fontId="35" fillId="35" borderId="0" xfId="0" applyNumberFormat="1" applyFont="1" applyFill="1" applyBorder="1" applyAlignment="1" applyProtection="1">
      <alignment/>
      <protection hidden="1"/>
    </xf>
    <xf numFmtId="0" fontId="34" fillId="35" borderId="72" xfId="0" applyFont="1" applyFill="1" applyBorder="1" applyAlignment="1" applyProtection="1">
      <alignment/>
      <protection hidden="1"/>
    </xf>
    <xf numFmtId="0" fontId="35" fillId="35" borderId="70" xfId="0" applyFont="1" applyFill="1" applyBorder="1" applyAlignment="1" applyProtection="1">
      <alignment/>
      <protection hidden="1"/>
    </xf>
    <xf numFmtId="172" fontId="35" fillId="35" borderId="12" xfId="53" applyNumberFormat="1" applyFont="1" applyFill="1" applyBorder="1" applyAlignment="1" applyProtection="1">
      <alignment/>
      <protection hidden="1"/>
    </xf>
    <xf numFmtId="172" fontId="35" fillId="35" borderId="0" xfId="53" applyNumberFormat="1" applyFont="1" applyFill="1" applyBorder="1" applyAlignment="1" applyProtection="1">
      <alignment/>
      <protection hidden="1"/>
    </xf>
    <xf numFmtId="0" fontId="34" fillId="35" borderId="78" xfId="0" applyFont="1" applyFill="1" applyBorder="1" applyAlignment="1" applyProtection="1">
      <alignment/>
      <protection hidden="1"/>
    </xf>
    <xf numFmtId="178" fontId="34" fillId="35" borderId="27" xfId="0" applyNumberFormat="1" applyFont="1" applyFill="1" applyBorder="1" applyAlignment="1" applyProtection="1">
      <alignment horizontal="center" wrapText="1"/>
      <protection hidden="1"/>
    </xf>
    <xf numFmtId="0" fontId="35" fillId="35" borderId="17" xfId="0" applyFont="1" applyFill="1" applyBorder="1" applyAlignment="1" applyProtection="1">
      <alignment/>
      <protection hidden="1"/>
    </xf>
    <xf numFmtId="0" fontId="35" fillId="35" borderId="10" xfId="0" applyFont="1" applyFill="1" applyBorder="1" applyAlignment="1" applyProtection="1">
      <alignment/>
      <protection hidden="1"/>
    </xf>
    <xf numFmtId="0" fontId="35" fillId="35" borderId="11" xfId="0" applyFont="1" applyFill="1" applyBorder="1" applyAlignment="1" applyProtection="1">
      <alignment/>
      <protection hidden="1"/>
    </xf>
    <xf numFmtId="0" fontId="35" fillId="35" borderId="18" xfId="0" applyFont="1" applyFill="1" applyBorder="1" applyAlignment="1" applyProtection="1">
      <alignment/>
      <protection hidden="1"/>
    </xf>
    <xf numFmtId="0" fontId="35" fillId="35" borderId="20" xfId="0" applyFont="1" applyFill="1" applyBorder="1" applyAlignment="1" applyProtection="1">
      <alignment/>
      <protection hidden="1"/>
    </xf>
    <xf numFmtId="0" fontId="41" fillId="35" borderId="0" xfId="0" applyFont="1" applyFill="1" applyBorder="1" applyAlignment="1" applyProtection="1">
      <alignment horizontal="center"/>
      <protection hidden="1"/>
    </xf>
    <xf numFmtId="0" fontId="35" fillId="35" borderId="12" xfId="0" applyFont="1" applyFill="1" applyBorder="1" applyAlignment="1" applyProtection="1">
      <alignment/>
      <protection hidden="1"/>
    </xf>
    <xf numFmtId="0" fontId="35" fillId="35" borderId="80" xfId="0" applyFont="1" applyFill="1" applyBorder="1" applyAlignment="1" applyProtection="1">
      <alignment/>
      <protection hidden="1"/>
    </xf>
    <xf numFmtId="0" fontId="35" fillId="35" borderId="54" xfId="0" applyFont="1" applyFill="1" applyBorder="1" applyAlignment="1" applyProtection="1">
      <alignment/>
      <protection hidden="1"/>
    </xf>
    <xf numFmtId="0" fontId="34" fillId="35" borderId="81" xfId="0" applyFont="1" applyFill="1" applyBorder="1" applyAlignment="1" applyProtection="1">
      <alignment horizontal="right" vertical="center" wrapText="1"/>
      <protection hidden="1"/>
    </xf>
    <xf numFmtId="0" fontId="36" fillId="35" borderId="82" xfId="0" applyFont="1" applyFill="1" applyBorder="1" applyAlignment="1" applyProtection="1">
      <alignment/>
      <protection hidden="1"/>
    </xf>
    <xf numFmtId="0" fontId="35" fillId="35" borderId="21" xfId="0" applyFont="1" applyFill="1" applyBorder="1" applyAlignment="1" applyProtection="1">
      <alignment horizontal="center"/>
      <protection hidden="1"/>
    </xf>
    <xf numFmtId="0" fontId="35" fillId="35" borderId="60" xfId="0" applyFont="1" applyFill="1" applyBorder="1" applyAlignment="1" applyProtection="1">
      <alignment horizontal="center"/>
      <protection hidden="1"/>
    </xf>
    <xf numFmtId="0" fontId="35" fillId="35" borderId="83" xfId="0" applyFont="1" applyFill="1" applyBorder="1" applyAlignment="1" applyProtection="1">
      <alignment horizontal="center"/>
      <protection hidden="1"/>
    </xf>
    <xf numFmtId="0" fontId="34" fillId="35" borderId="72" xfId="0" applyFont="1" applyFill="1" applyBorder="1" applyAlignment="1" applyProtection="1">
      <alignment vertical="center" wrapText="1"/>
      <protection hidden="1"/>
    </xf>
    <xf numFmtId="0" fontId="36" fillId="35" borderId="23" xfId="0" applyFont="1" applyFill="1" applyBorder="1" applyAlignment="1" applyProtection="1">
      <alignment/>
      <protection hidden="1"/>
    </xf>
    <xf numFmtId="172" fontId="35" fillId="35" borderId="22" xfId="53" applyNumberFormat="1" applyFont="1" applyFill="1" applyBorder="1" applyAlignment="1" applyProtection="1">
      <alignment horizontal="center"/>
      <protection hidden="1"/>
    </xf>
    <xf numFmtId="172" fontId="35" fillId="35" borderId="23" xfId="53" applyNumberFormat="1" applyFont="1" applyFill="1" applyBorder="1" applyAlignment="1" applyProtection="1">
      <alignment horizontal="center"/>
      <protection hidden="1"/>
    </xf>
    <xf numFmtId="0" fontId="34" fillId="35" borderId="78" xfId="0" applyFont="1" applyFill="1" applyBorder="1" applyAlignment="1" applyProtection="1">
      <alignment vertical="center" wrapText="1"/>
      <protection hidden="1"/>
    </xf>
    <xf numFmtId="0" fontId="36" fillId="35" borderId="84" xfId="0" applyFont="1" applyFill="1" applyBorder="1" applyAlignment="1" applyProtection="1">
      <alignment/>
      <protection hidden="1"/>
    </xf>
    <xf numFmtId="178" fontId="35" fillId="35" borderId="64" xfId="0" applyNumberFormat="1" applyFont="1" applyFill="1" applyBorder="1" applyAlignment="1" applyProtection="1">
      <alignment horizontal="center" wrapText="1"/>
      <protection hidden="1"/>
    </xf>
    <xf numFmtId="178" fontId="35" fillId="35" borderId="65" xfId="0" applyNumberFormat="1" applyFont="1" applyFill="1" applyBorder="1" applyAlignment="1" applyProtection="1">
      <alignment horizontal="center" wrapText="1"/>
      <protection hidden="1"/>
    </xf>
    <xf numFmtId="178" fontId="35" fillId="35" borderId="85" xfId="0" applyNumberFormat="1" applyFont="1" applyFill="1" applyBorder="1" applyAlignment="1" applyProtection="1">
      <alignment horizontal="center" wrapText="1"/>
      <protection hidden="1"/>
    </xf>
    <xf numFmtId="10" fontId="35" fillId="35" borderId="21" xfId="53" applyNumberFormat="1" applyFont="1" applyFill="1" applyBorder="1" applyAlignment="1" applyProtection="1">
      <alignment horizontal="center"/>
      <protection hidden="1"/>
    </xf>
    <xf numFmtId="10" fontId="35" fillId="35" borderId="60" xfId="53" applyNumberFormat="1" applyFont="1" applyFill="1" applyBorder="1" applyAlignment="1" applyProtection="1">
      <alignment horizontal="center"/>
      <protection hidden="1"/>
    </xf>
    <xf numFmtId="10" fontId="35" fillId="35" borderId="22" xfId="53" applyNumberFormat="1" applyFont="1" applyFill="1" applyBorder="1" applyAlignment="1" applyProtection="1">
      <alignment horizontal="center"/>
      <protection hidden="1"/>
    </xf>
    <xf numFmtId="178" fontId="35" fillId="35" borderId="0" xfId="0" applyNumberFormat="1" applyFont="1" applyFill="1" applyBorder="1" applyAlignment="1" applyProtection="1">
      <alignment/>
      <protection hidden="1"/>
    </xf>
    <xf numFmtId="178" fontId="35" fillId="35" borderId="0" xfId="0" applyNumberFormat="1" applyFont="1" applyFill="1" applyBorder="1" applyAlignment="1" applyProtection="1">
      <alignment wrapText="1"/>
      <protection hidden="1"/>
    </xf>
    <xf numFmtId="0" fontId="36" fillId="35" borderId="12" xfId="0" applyFont="1" applyFill="1" applyBorder="1" applyAlignment="1" applyProtection="1">
      <alignment/>
      <protection hidden="1"/>
    </xf>
    <xf numFmtId="0" fontId="35" fillId="35" borderId="13" xfId="0" applyFont="1" applyFill="1" applyBorder="1" applyAlignment="1" applyProtection="1">
      <alignment/>
      <protection hidden="1"/>
    </xf>
    <xf numFmtId="0" fontId="35" fillId="35" borderId="15" xfId="0" applyFont="1" applyFill="1" applyBorder="1" applyAlignment="1" applyProtection="1">
      <alignment/>
      <protection hidden="1"/>
    </xf>
    <xf numFmtId="0" fontId="35" fillId="35" borderId="14" xfId="0" applyFont="1" applyFill="1" applyBorder="1" applyAlignment="1" applyProtection="1">
      <alignment/>
      <protection hidden="1"/>
    </xf>
    <xf numFmtId="0" fontId="35" fillId="35" borderId="16" xfId="0" applyFont="1" applyFill="1" applyBorder="1" applyAlignment="1" applyProtection="1">
      <alignment/>
      <protection hidden="1"/>
    </xf>
    <xf numFmtId="213" fontId="35" fillId="35" borderId="0" xfId="0" applyNumberFormat="1" applyFont="1" applyFill="1" applyBorder="1" applyAlignment="1" applyProtection="1">
      <alignment horizontal="center"/>
      <protection hidden="1"/>
    </xf>
    <xf numFmtId="191" fontId="35" fillId="35" borderId="0" xfId="0" applyNumberFormat="1" applyFont="1" applyFill="1" applyAlignment="1" applyProtection="1">
      <alignment horizontal="center"/>
      <protection hidden="1"/>
    </xf>
    <xf numFmtId="0" fontId="35" fillId="35" borderId="0" xfId="0" applyFont="1" applyFill="1" applyAlignment="1" applyProtection="1" quotePrefix="1">
      <alignment/>
      <protection hidden="1"/>
    </xf>
    <xf numFmtId="2" fontId="35" fillId="35" borderId="0" xfId="0" applyNumberFormat="1" applyFont="1" applyFill="1" applyAlignment="1" applyProtection="1">
      <alignment horizontal="left"/>
      <protection hidden="1"/>
    </xf>
    <xf numFmtId="2" fontId="35" fillId="35" borderId="15" xfId="0" applyNumberFormat="1" applyFont="1" applyFill="1" applyBorder="1" applyAlignment="1" applyProtection="1">
      <alignment/>
      <protection hidden="1"/>
    </xf>
    <xf numFmtId="2" fontId="35" fillId="35" borderId="14" xfId="0" applyNumberFormat="1" applyFont="1" applyFill="1" applyBorder="1" applyAlignment="1" applyProtection="1">
      <alignment/>
      <protection hidden="1"/>
    </xf>
    <xf numFmtId="2" fontId="35" fillId="35" borderId="16" xfId="0" applyNumberFormat="1" applyFont="1" applyFill="1" applyBorder="1" applyAlignment="1" applyProtection="1">
      <alignment/>
      <protection hidden="1"/>
    </xf>
    <xf numFmtId="2" fontId="35" fillId="35" borderId="17" xfId="0" applyNumberFormat="1" applyFont="1" applyFill="1" applyBorder="1" applyAlignment="1" applyProtection="1">
      <alignment horizontal="left"/>
      <protection hidden="1"/>
    </xf>
    <xf numFmtId="2" fontId="35" fillId="35" borderId="18" xfId="0" applyNumberFormat="1" applyFont="1" applyFill="1" applyBorder="1" applyAlignment="1" applyProtection="1">
      <alignment horizontal="left"/>
      <protection hidden="1"/>
    </xf>
    <xf numFmtId="2" fontId="35" fillId="35" borderId="20" xfId="0" applyNumberFormat="1" applyFont="1" applyFill="1" applyBorder="1" applyAlignment="1" applyProtection="1">
      <alignment/>
      <protection hidden="1"/>
    </xf>
    <xf numFmtId="0" fontId="21" fillId="35" borderId="0" xfId="46" applyFont="1" applyFill="1" applyAlignment="1" applyProtection="1">
      <alignment horizontal="center"/>
      <protection/>
    </xf>
    <xf numFmtId="0" fontId="32" fillId="35" borderId="29" xfId="0" applyFont="1" applyFill="1" applyBorder="1" applyAlignment="1">
      <alignment horizontal="left" vertical="center" wrapText="1" indent="1"/>
    </xf>
    <xf numFmtId="0" fontId="24" fillId="35" borderId="0" xfId="0" applyFont="1" applyFill="1" applyAlignment="1">
      <alignment horizontal="left" wrapText="1"/>
    </xf>
    <xf numFmtId="0" fontId="23" fillId="35" borderId="0" xfId="0" applyFont="1" applyFill="1" applyBorder="1" applyAlignment="1">
      <alignment horizontal="center" vertical="center"/>
    </xf>
    <xf numFmtId="0" fontId="24" fillId="35" borderId="20" xfId="0" applyFont="1" applyFill="1" applyBorder="1" applyAlignment="1">
      <alignment horizontal="center"/>
    </xf>
    <xf numFmtId="0" fontId="24" fillId="35" borderId="12" xfId="0" applyFont="1" applyFill="1" applyBorder="1" applyAlignment="1">
      <alignment horizontal="center"/>
    </xf>
    <xf numFmtId="0" fontId="24" fillId="35" borderId="13" xfId="0" applyFont="1" applyFill="1" applyBorder="1" applyAlignment="1">
      <alignment horizontal="center"/>
    </xf>
    <xf numFmtId="0" fontId="22" fillId="35" borderId="17" xfId="0" applyFont="1" applyFill="1" applyBorder="1" applyAlignment="1">
      <alignment horizontal="center" wrapText="1"/>
    </xf>
    <xf numFmtId="0" fontId="22" fillId="35" borderId="10" xfId="0" applyFont="1" applyFill="1" applyBorder="1" applyAlignment="1">
      <alignment horizontal="center" wrapText="1"/>
    </xf>
    <xf numFmtId="0" fontId="22" fillId="35" borderId="11" xfId="0" applyFont="1" applyFill="1" applyBorder="1" applyAlignment="1">
      <alignment horizontal="center" wrapText="1"/>
    </xf>
    <xf numFmtId="0" fontId="30" fillId="35" borderId="29" xfId="0" applyFont="1" applyFill="1" applyBorder="1" applyAlignment="1">
      <alignment horizontal="center" vertical="top" wrapText="1"/>
    </xf>
    <xf numFmtId="0" fontId="2" fillId="34" borderId="86" xfId="0" applyFont="1" applyFill="1" applyBorder="1" applyAlignment="1">
      <alignment horizontal="right" vertical="center" wrapText="1"/>
    </xf>
    <xf numFmtId="0" fontId="2" fillId="34" borderId="69" xfId="0" applyFont="1" applyFill="1" applyBorder="1" applyAlignment="1">
      <alignment horizontal="right" vertical="center" wrapText="1"/>
    </xf>
    <xf numFmtId="0" fontId="2" fillId="33" borderId="87" xfId="0" applyFont="1" applyFill="1" applyBorder="1" applyAlignment="1">
      <alignment horizontal="right" vertical="center" wrapText="1"/>
    </xf>
    <xf numFmtId="0" fontId="2" fillId="33" borderId="14" xfId="0" applyFont="1" applyFill="1" applyBorder="1" applyAlignment="1">
      <alignment horizontal="right" vertical="center" wrapText="1"/>
    </xf>
    <xf numFmtId="0" fontId="19" fillId="33" borderId="87"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14" xfId="0" applyFill="1" applyBorder="1" applyAlignment="1">
      <alignment horizontal="left" vertical="center" wrapText="1"/>
    </xf>
    <xf numFmtId="0" fontId="0" fillId="33" borderId="37" xfId="0" applyFill="1" applyBorder="1" applyAlignment="1">
      <alignment horizontal="left" vertical="center" wrapText="1"/>
    </xf>
    <xf numFmtId="0" fontId="2" fillId="0" borderId="0" xfId="0" applyFont="1" applyFill="1" applyBorder="1" applyAlignment="1">
      <alignment horizontal="center"/>
    </xf>
    <xf numFmtId="0" fontId="2" fillId="0" borderId="27" xfId="0" applyFont="1" applyBorder="1" applyAlignment="1">
      <alignment horizontal="center"/>
    </xf>
    <xf numFmtId="0" fontId="0" fillId="34" borderId="87" xfId="0" applyFont="1" applyFill="1" applyBorder="1" applyAlignment="1">
      <alignment horizontal="right" vertical="center" wrapText="1"/>
    </xf>
    <xf numFmtId="0" fontId="0" fillId="34" borderId="16" xfId="0" applyFont="1" applyFill="1" applyBorder="1" applyAlignment="1">
      <alignment horizontal="right" vertical="center" wrapText="1"/>
    </xf>
    <xf numFmtId="0" fontId="0" fillId="34" borderId="88" xfId="0" applyFont="1" applyFill="1" applyBorder="1" applyAlignment="1">
      <alignment horizontal="right" vertical="center" wrapText="1"/>
    </xf>
    <xf numFmtId="0" fontId="0" fillId="34" borderId="89" xfId="0" applyFont="1" applyFill="1" applyBorder="1" applyAlignment="1">
      <alignment horizontal="right" vertical="center" wrapText="1"/>
    </xf>
    <xf numFmtId="0" fontId="0" fillId="34" borderId="86" xfId="0" applyFont="1" applyFill="1" applyBorder="1" applyAlignment="1">
      <alignment horizontal="right" vertical="center" wrapText="1"/>
    </xf>
    <xf numFmtId="0" fontId="0" fillId="34" borderId="69" xfId="0" applyFont="1" applyFill="1" applyBorder="1" applyAlignment="1">
      <alignment horizontal="right" vertical="center" wrapText="1"/>
    </xf>
    <xf numFmtId="0" fontId="6" fillId="34" borderId="90" xfId="0" applyFont="1" applyFill="1" applyBorder="1" applyAlignment="1">
      <alignment horizontal="center" vertical="center" wrapText="1"/>
    </xf>
    <xf numFmtId="0" fontId="6" fillId="34" borderId="91" xfId="0" applyFont="1" applyFill="1" applyBorder="1" applyAlignment="1">
      <alignment horizontal="center" vertical="center" wrapText="1"/>
    </xf>
    <xf numFmtId="0" fontId="6" fillId="34" borderId="92" xfId="0" applyFont="1" applyFill="1" applyBorder="1" applyAlignment="1">
      <alignment horizontal="center" vertical="center" wrapText="1"/>
    </xf>
    <xf numFmtId="0" fontId="2" fillId="34" borderId="93"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0" fillId="33" borderId="14" xfId="0" applyFill="1" applyBorder="1" applyAlignment="1">
      <alignment horizontal="center" wrapText="1"/>
    </xf>
    <xf numFmtId="0" fontId="0" fillId="33" borderId="37" xfId="0" applyFill="1" applyBorder="1" applyAlignment="1">
      <alignment horizontal="center" wrapText="1"/>
    </xf>
    <xf numFmtId="0" fontId="19" fillId="33" borderId="87" xfId="0" applyFont="1" applyFill="1" applyBorder="1" applyAlignment="1">
      <alignment horizontal="center"/>
    </xf>
    <xf numFmtId="0" fontId="19" fillId="33" borderId="14" xfId="0" applyFont="1" applyFill="1" applyBorder="1" applyAlignment="1">
      <alignment horizontal="center"/>
    </xf>
    <xf numFmtId="0" fontId="19" fillId="33" borderId="37" xfId="0" applyFont="1" applyFill="1" applyBorder="1" applyAlignment="1">
      <alignment horizontal="center"/>
    </xf>
    <xf numFmtId="0" fontId="11" fillId="33" borderId="60" xfId="0" applyFont="1" applyFill="1" applyBorder="1" applyAlignment="1">
      <alignment horizontal="center" vertical="center"/>
    </xf>
    <xf numFmtId="0" fontId="2" fillId="33" borderId="22" xfId="0" applyFont="1" applyFill="1" applyBorder="1" applyAlignment="1">
      <alignment horizontal="center"/>
    </xf>
    <xf numFmtId="0" fontId="2" fillId="33" borderId="0" xfId="0" applyFont="1" applyFill="1" applyBorder="1" applyAlignment="1">
      <alignment horizontal="center"/>
    </xf>
    <xf numFmtId="0" fontId="2" fillId="33" borderId="23" xfId="0" applyFont="1" applyFill="1" applyBorder="1" applyAlignment="1">
      <alignment horizontal="center"/>
    </xf>
    <xf numFmtId="0" fontId="14" fillId="33" borderId="94" xfId="0" applyFont="1" applyFill="1" applyBorder="1" applyAlignment="1">
      <alignment horizontal="center"/>
    </xf>
    <xf numFmtId="0" fontId="14" fillId="33" borderId="10" xfId="0" applyFont="1" applyFill="1" applyBorder="1" applyAlignment="1">
      <alignment horizontal="center"/>
    </xf>
    <xf numFmtId="0" fontId="14" fillId="33" borderId="95" xfId="0" applyFont="1" applyFill="1" applyBorder="1" applyAlignment="1">
      <alignment horizontal="center"/>
    </xf>
    <xf numFmtId="0" fontId="6" fillId="33" borderId="96"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83" xfId="0" applyFont="1" applyFill="1" applyBorder="1" applyAlignment="1">
      <alignment horizontal="center" vertical="center" wrapText="1"/>
    </xf>
    <xf numFmtId="0" fontId="14" fillId="33" borderId="57" xfId="0" applyFont="1" applyFill="1" applyBorder="1" applyAlignment="1">
      <alignment horizontal="center" vertical="center"/>
    </xf>
    <xf numFmtId="0" fontId="14" fillId="33" borderId="43" xfId="0" applyFont="1" applyFill="1" applyBorder="1" applyAlignment="1">
      <alignment horizontal="center" vertical="center"/>
    </xf>
    <xf numFmtId="0" fontId="14" fillId="33" borderId="57" xfId="0" applyFont="1" applyFill="1" applyBorder="1" applyAlignment="1">
      <alignment horizontal="center"/>
    </xf>
    <xf numFmtId="0" fontId="14" fillId="33" borderId="42" xfId="0" applyFont="1" applyFill="1" applyBorder="1" applyAlignment="1">
      <alignment horizontal="center"/>
    </xf>
    <xf numFmtId="0" fontId="14" fillId="33" borderId="43" xfId="0" applyFont="1" applyFill="1" applyBorder="1" applyAlignment="1">
      <alignment horizontal="center"/>
    </xf>
    <xf numFmtId="0" fontId="34" fillId="35" borderId="47" xfId="0" applyFont="1" applyFill="1" applyBorder="1" applyAlignment="1" applyProtection="1">
      <alignment horizontal="left"/>
      <protection hidden="1"/>
    </xf>
    <xf numFmtId="0" fontId="34" fillId="35" borderId="48" xfId="0" applyFont="1" applyFill="1" applyBorder="1" applyAlignment="1" applyProtection="1">
      <alignment horizontal="left"/>
      <protection hidden="1"/>
    </xf>
    <xf numFmtId="0" fontId="34" fillId="35" borderId="49" xfId="0" applyFont="1" applyFill="1" applyBorder="1" applyAlignment="1" applyProtection="1">
      <alignment horizontal="left"/>
      <protection hidden="1"/>
    </xf>
    <xf numFmtId="0" fontId="41" fillId="35" borderId="47" xfId="0" applyFont="1" applyFill="1" applyBorder="1" applyAlignment="1" applyProtection="1">
      <alignment horizontal="center"/>
      <protection hidden="1"/>
    </xf>
    <xf numFmtId="0" fontId="41" fillId="35" borderId="48" xfId="0" applyFont="1" applyFill="1" applyBorder="1" applyAlignment="1" applyProtection="1">
      <alignment horizontal="center"/>
      <protection hidden="1"/>
    </xf>
    <xf numFmtId="0" fontId="41" fillId="35" borderId="49" xfId="0" applyFont="1" applyFill="1" applyBorder="1" applyAlignment="1" applyProtection="1">
      <alignment horizontal="center"/>
      <protection hidden="1"/>
    </xf>
    <xf numFmtId="0" fontId="34" fillId="35" borderId="47" xfId="0" applyFont="1" applyFill="1" applyBorder="1" applyAlignment="1" applyProtection="1">
      <alignment horizontal="center" wrapText="1"/>
      <protection hidden="1"/>
    </xf>
    <xf numFmtId="0" fontId="34" fillId="35" borderId="48" xfId="0" applyFont="1" applyFill="1" applyBorder="1" applyAlignment="1" applyProtection="1">
      <alignment horizontal="center" wrapText="1"/>
      <protection hidden="1"/>
    </xf>
    <xf numFmtId="0" fontId="34" fillId="35" borderId="49" xfId="0" applyFont="1" applyFill="1" applyBorder="1" applyAlignment="1" applyProtection="1">
      <alignment horizontal="center" wrapText="1"/>
      <protection hidden="1"/>
    </xf>
    <xf numFmtId="0" fontId="78" fillId="0" borderId="0" xfId="0" applyFont="1" applyAlignment="1">
      <alignment/>
    </xf>
    <xf numFmtId="0" fontId="0" fillId="0" borderId="0" xfId="0" applyFont="1" applyAlignment="1">
      <alignment/>
    </xf>
    <xf numFmtId="0" fontId="79" fillId="0" borderId="0" xfId="0" applyFont="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traites.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etraites.gouv.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G9"/>
  <sheetViews>
    <sheetView tabSelected="1" zoomScalePageLayoutView="0" workbookViewId="0" topLeftCell="A1">
      <selection activeCell="C13" sqref="C13"/>
    </sheetView>
  </sheetViews>
  <sheetFormatPr defaultColWidth="11.421875" defaultRowHeight="12.75"/>
  <sheetData>
    <row r="1" ht="26.25">
      <c r="B1" s="458" t="s">
        <v>369</v>
      </c>
    </row>
    <row r="2" ht="26.25">
      <c r="B2" s="458" t="s">
        <v>370</v>
      </c>
    </row>
    <row r="4" spans="2:7" ht="12.75">
      <c r="B4" s="92"/>
      <c r="D4" s="92"/>
      <c r="E4" s="97" t="s">
        <v>355</v>
      </c>
      <c r="F4" s="105" t="s">
        <v>354</v>
      </c>
      <c r="G4" s="98"/>
    </row>
    <row r="5" spans="2:7" ht="12.75">
      <c r="B5" s="92"/>
      <c r="C5" s="92"/>
      <c r="D5" s="92"/>
      <c r="E5" s="92"/>
      <c r="F5" s="92"/>
      <c r="G5" s="99" t="s">
        <v>361</v>
      </c>
    </row>
    <row r="7" ht="12.75">
      <c r="B7" s="460" t="s">
        <v>372</v>
      </c>
    </row>
    <row r="8" ht="12.75">
      <c r="C8" s="459" t="s">
        <v>373</v>
      </c>
    </row>
    <row r="9" ht="12.75">
      <c r="B9" s="460" t="s">
        <v>371</v>
      </c>
    </row>
  </sheetData>
  <sheetProtection/>
  <hyperlinks>
    <hyperlink ref="F4" r:id="rId1" display="WWW.retraites.gouv.fr "/>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dimension ref="A1:L40"/>
  <sheetViews>
    <sheetView showGridLines="0" showRowColHeaders="0" zoomScalePageLayoutView="0" workbookViewId="0" topLeftCell="A25">
      <selection activeCell="D33" sqref="D33:I34"/>
    </sheetView>
  </sheetViews>
  <sheetFormatPr defaultColWidth="11.421875" defaultRowHeight="12.75"/>
  <cols>
    <col min="1" max="1" width="5.421875" style="0" customWidth="1"/>
    <col min="2" max="2" width="6.140625" style="0" customWidth="1"/>
    <col min="3" max="3" width="11.00390625" style="0" customWidth="1"/>
    <col min="4" max="8" width="14.28125" style="0" customWidth="1"/>
    <col min="9" max="9" width="11.140625" style="0" customWidth="1"/>
    <col min="11" max="11" width="17.28125" style="0" customWidth="1"/>
  </cols>
  <sheetData>
    <row r="1" spans="1:11" ht="45" customHeight="1">
      <c r="A1" s="82"/>
      <c r="B1" s="394" t="s">
        <v>329</v>
      </c>
      <c r="C1" s="394"/>
      <c r="D1" s="394"/>
      <c r="E1" s="394"/>
      <c r="F1" s="394"/>
      <c r="G1" s="394"/>
      <c r="H1" s="394"/>
      <c r="I1" s="394"/>
      <c r="J1" s="82"/>
      <c r="K1" s="82"/>
    </row>
    <row r="2" spans="1:11" ht="30.75" customHeight="1">
      <c r="A2" s="82"/>
      <c r="B2" s="398" t="s">
        <v>330</v>
      </c>
      <c r="C2" s="399"/>
      <c r="D2" s="399"/>
      <c r="E2" s="399"/>
      <c r="F2" s="399"/>
      <c r="G2" s="399"/>
      <c r="H2" s="399"/>
      <c r="I2" s="400"/>
      <c r="J2" s="82"/>
      <c r="K2" s="82"/>
    </row>
    <row r="3" spans="1:11" ht="15">
      <c r="A3" s="82"/>
      <c r="B3" s="395" t="s">
        <v>331</v>
      </c>
      <c r="C3" s="396"/>
      <c r="D3" s="396"/>
      <c r="E3" s="396"/>
      <c r="F3" s="396"/>
      <c r="G3" s="396"/>
      <c r="H3" s="396"/>
      <c r="I3" s="397"/>
      <c r="J3" s="82"/>
      <c r="K3" s="82"/>
    </row>
    <row r="4" spans="1:11" ht="21" customHeight="1">
      <c r="A4" s="82"/>
      <c r="B4" s="81" t="s">
        <v>332</v>
      </c>
      <c r="C4" s="82"/>
      <c r="D4" s="82"/>
      <c r="E4" s="82"/>
      <c r="F4" s="82"/>
      <c r="G4" s="82"/>
      <c r="H4" s="82"/>
      <c r="I4" s="82"/>
      <c r="J4" s="82"/>
      <c r="K4" s="82"/>
    </row>
    <row r="5" spans="1:11" ht="30" customHeight="1">
      <c r="A5" s="82"/>
      <c r="B5" s="393" t="s">
        <v>364</v>
      </c>
      <c r="C5" s="393"/>
      <c r="D5" s="393"/>
      <c r="E5" s="393"/>
      <c r="F5" s="393"/>
      <c r="G5" s="393"/>
      <c r="H5" s="393"/>
      <c r="I5" s="393"/>
      <c r="J5" s="82"/>
      <c r="K5" s="82"/>
    </row>
    <row r="6" spans="1:11" ht="18.75" customHeight="1">
      <c r="A6" s="82"/>
      <c r="B6" s="81" t="s">
        <v>333</v>
      </c>
      <c r="C6" s="82"/>
      <c r="D6" s="82"/>
      <c r="E6" s="82"/>
      <c r="F6" s="82"/>
      <c r="G6" s="82"/>
      <c r="H6" s="82"/>
      <c r="I6" s="82"/>
      <c r="J6" s="82"/>
      <c r="K6" s="82"/>
    </row>
    <row r="7" spans="1:11" ht="12" customHeight="1">
      <c r="A7" s="82"/>
      <c r="B7" s="83"/>
      <c r="C7" s="82"/>
      <c r="D7" s="82"/>
      <c r="E7" s="82"/>
      <c r="F7" s="82"/>
      <c r="G7" s="82"/>
      <c r="H7" s="82"/>
      <c r="I7" s="82"/>
      <c r="J7" s="82"/>
      <c r="K7" s="82"/>
    </row>
    <row r="8" spans="1:11" ht="46.5" customHeight="1">
      <c r="A8" s="82"/>
      <c r="B8" s="84" t="s">
        <v>343</v>
      </c>
      <c r="C8" s="393" t="s">
        <v>345</v>
      </c>
      <c r="D8" s="393"/>
      <c r="E8" s="393"/>
      <c r="F8" s="393"/>
      <c r="G8" s="393"/>
      <c r="H8" s="393"/>
      <c r="I8" s="393"/>
      <c r="J8" s="100"/>
      <c r="K8" s="82"/>
    </row>
    <row r="9" spans="1:11" ht="30" customHeight="1">
      <c r="A9" s="82"/>
      <c r="B9" s="84" t="s">
        <v>343</v>
      </c>
      <c r="C9" s="393" t="s">
        <v>346</v>
      </c>
      <c r="D9" s="393"/>
      <c r="E9" s="393"/>
      <c r="F9" s="393"/>
      <c r="G9" s="393"/>
      <c r="H9" s="393"/>
      <c r="I9" s="393"/>
      <c r="J9" s="82"/>
      <c r="K9" s="82"/>
    </row>
    <row r="10" spans="1:11" ht="15">
      <c r="A10" s="82"/>
      <c r="B10" s="85" t="s">
        <v>343</v>
      </c>
      <c r="C10" s="86" t="s">
        <v>344</v>
      </c>
      <c r="D10" s="82"/>
      <c r="E10" s="82"/>
      <c r="F10" s="82"/>
      <c r="G10" s="82"/>
      <c r="H10" s="82"/>
      <c r="I10" s="82"/>
      <c r="J10" s="82"/>
      <c r="K10" s="82"/>
    </row>
    <row r="11" spans="1:11" ht="28.5" customHeight="1">
      <c r="A11" s="82"/>
      <c r="B11" s="84" t="s">
        <v>343</v>
      </c>
      <c r="C11" s="393" t="s">
        <v>358</v>
      </c>
      <c r="D11" s="393"/>
      <c r="E11" s="393"/>
      <c r="F11" s="393"/>
      <c r="G11" s="393"/>
      <c r="H11" s="393"/>
      <c r="I11" s="393"/>
      <c r="J11" s="82"/>
      <c r="K11" s="82"/>
    </row>
    <row r="12" spans="1:11" ht="21" customHeight="1">
      <c r="A12" s="82"/>
      <c r="B12" s="81" t="s">
        <v>334</v>
      </c>
      <c r="C12" s="82"/>
      <c r="D12" s="82"/>
      <c r="E12" s="82"/>
      <c r="F12" s="82"/>
      <c r="G12" s="82"/>
      <c r="H12" s="82"/>
      <c r="I12" s="82"/>
      <c r="J12" s="82"/>
      <c r="K12" s="82"/>
    </row>
    <row r="13" spans="1:11" ht="25.5" customHeight="1">
      <c r="A13" s="82"/>
      <c r="B13" s="102" t="s">
        <v>343</v>
      </c>
      <c r="C13" s="103" t="s">
        <v>347</v>
      </c>
      <c r="D13" s="104"/>
      <c r="E13" s="82"/>
      <c r="F13" s="82"/>
      <c r="G13" s="82"/>
      <c r="H13" s="82"/>
      <c r="I13" s="82"/>
      <c r="J13" s="82"/>
      <c r="K13" s="82"/>
    </row>
    <row r="14" spans="1:11" ht="30.75" customHeight="1">
      <c r="A14" s="82"/>
      <c r="B14" s="82"/>
      <c r="C14" s="82"/>
      <c r="D14" s="401"/>
      <c r="E14" s="401"/>
      <c r="F14" s="401"/>
      <c r="G14" s="87" t="s">
        <v>341</v>
      </c>
      <c r="H14" s="88" t="s">
        <v>335</v>
      </c>
      <c r="I14" s="82"/>
      <c r="J14" s="82"/>
      <c r="K14" s="82"/>
    </row>
    <row r="15" spans="1:11" ht="15">
      <c r="A15" s="82"/>
      <c r="B15" s="82"/>
      <c r="C15" s="82"/>
      <c r="D15" s="392" t="s">
        <v>31</v>
      </c>
      <c r="E15" s="392"/>
      <c r="F15" s="392"/>
      <c r="G15" s="89" t="s">
        <v>336</v>
      </c>
      <c r="H15" s="89" t="s">
        <v>337</v>
      </c>
      <c r="I15" s="82"/>
      <c r="J15" s="82"/>
      <c r="K15" s="82"/>
    </row>
    <row r="16" spans="1:11" ht="24.75" customHeight="1">
      <c r="A16" s="82"/>
      <c r="B16" s="82"/>
      <c r="C16" s="82"/>
      <c r="D16" s="392" t="s">
        <v>338</v>
      </c>
      <c r="E16" s="392"/>
      <c r="F16" s="392"/>
      <c r="G16" s="89" t="s">
        <v>339</v>
      </c>
      <c r="H16" s="89" t="s">
        <v>337</v>
      </c>
      <c r="I16" s="82"/>
      <c r="J16" s="82"/>
      <c r="K16" s="82"/>
    </row>
    <row r="17" spans="1:11" ht="30" customHeight="1">
      <c r="A17" s="82"/>
      <c r="B17" s="82"/>
      <c r="C17" s="82"/>
      <c r="D17" s="392" t="s">
        <v>32</v>
      </c>
      <c r="E17" s="392"/>
      <c r="F17" s="392"/>
      <c r="G17" s="89" t="s">
        <v>339</v>
      </c>
      <c r="H17" s="89" t="s">
        <v>336</v>
      </c>
      <c r="I17" s="82"/>
      <c r="J17" s="82"/>
      <c r="K17" s="82"/>
    </row>
    <row r="18" spans="1:11" ht="30" customHeight="1">
      <c r="A18" s="82"/>
      <c r="B18" s="82"/>
      <c r="C18" s="90"/>
      <c r="D18" s="392" t="s">
        <v>33</v>
      </c>
      <c r="E18" s="392"/>
      <c r="F18" s="392"/>
      <c r="G18" s="89" t="s">
        <v>339</v>
      </c>
      <c r="H18" s="89" t="s">
        <v>336</v>
      </c>
      <c r="I18" s="82"/>
      <c r="J18" s="101"/>
      <c r="K18" s="82"/>
    </row>
    <row r="19" spans="1:11" ht="30" customHeight="1">
      <c r="A19" s="82"/>
      <c r="B19" s="82"/>
      <c r="C19" s="91"/>
      <c r="D19" s="392" t="s">
        <v>34</v>
      </c>
      <c r="E19" s="392"/>
      <c r="F19" s="392"/>
      <c r="G19" s="89" t="s">
        <v>340</v>
      </c>
      <c r="H19" s="89" t="s">
        <v>339</v>
      </c>
      <c r="I19" s="82"/>
      <c r="J19" s="82"/>
      <c r="K19" s="82"/>
    </row>
    <row r="20" spans="1:11" ht="15.75" customHeight="1">
      <c r="A20" s="82"/>
      <c r="B20" s="82"/>
      <c r="C20" s="91"/>
      <c r="D20" s="109"/>
      <c r="E20" s="109"/>
      <c r="F20" s="109"/>
      <c r="G20" s="110"/>
      <c r="H20" s="110"/>
      <c r="I20" s="82"/>
      <c r="J20" s="82"/>
      <c r="K20" s="82"/>
    </row>
    <row r="21" spans="1:11" ht="27.75" customHeight="1">
      <c r="A21" s="82"/>
      <c r="B21" s="84" t="s">
        <v>343</v>
      </c>
      <c r="C21" s="393" t="s">
        <v>359</v>
      </c>
      <c r="D21" s="393"/>
      <c r="E21" s="393"/>
      <c r="F21" s="393"/>
      <c r="G21" s="393"/>
      <c r="H21" s="393"/>
      <c r="I21" s="393"/>
      <c r="J21" s="82"/>
      <c r="K21" s="82"/>
    </row>
    <row r="22" spans="1:12" ht="30" customHeight="1">
      <c r="A22" s="82"/>
      <c r="B22" s="84" t="s">
        <v>343</v>
      </c>
      <c r="C22" s="393" t="s">
        <v>353</v>
      </c>
      <c r="D22" s="393"/>
      <c r="E22" s="393"/>
      <c r="F22" s="393"/>
      <c r="G22" s="393"/>
      <c r="H22" s="393"/>
      <c r="I22" s="393"/>
      <c r="J22" s="92"/>
      <c r="K22" s="92"/>
      <c r="L22" s="34"/>
    </row>
    <row r="23" spans="1:11" s="34" customFormat="1" ht="30.75" customHeight="1">
      <c r="A23" s="82"/>
      <c r="B23" s="84" t="s">
        <v>343</v>
      </c>
      <c r="C23" s="393" t="s">
        <v>348</v>
      </c>
      <c r="D23" s="393"/>
      <c r="E23" s="393"/>
      <c r="F23" s="393"/>
      <c r="G23" s="393"/>
      <c r="H23" s="393"/>
      <c r="I23" s="393"/>
      <c r="J23" s="92"/>
      <c r="K23" s="92"/>
    </row>
    <row r="24" spans="1:11" s="34" customFormat="1" ht="15">
      <c r="A24" s="92"/>
      <c r="B24" s="84" t="s">
        <v>343</v>
      </c>
      <c r="C24" s="86" t="s">
        <v>349</v>
      </c>
      <c r="D24" s="92"/>
      <c r="E24" s="92"/>
      <c r="F24" s="92"/>
      <c r="G24" s="92"/>
      <c r="H24" s="92"/>
      <c r="I24" s="92"/>
      <c r="J24" s="92"/>
      <c r="K24" s="92"/>
    </row>
    <row r="25" spans="1:11" s="34" customFormat="1" ht="15">
      <c r="A25" s="92"/>
      <c r="B25" s="84"/>
      <c r="C25" s="93" t="s">
        <v>360</v>
      </c>
      <c r="D25" s="92"/>
      <c r="E25" s="92"/>
      <c r="F25" s="92"/>
      <c r="G25" s="92"/>
      <c r="H25" s="92"/>
      <c r="I25" s="92"/>
      <c r="J25" s="92"/>
      <c r="K25" s="92"/>
    </row>
    <row r="26" spans="1:11" s="34" customFormat="1" ht="15">
      <c r="A26" s="92"/>
      <c r="B26" s="84"/>
      <c r="C26" s="93" t="s">
        <v>342</v>
      </c>
      <c r="D26" s="92"/>
      <c r="E26" s="92"/>
      <c r="F26" s="92"/>
      <c r="G26" s="92"/>
      <c r="H26" s="92"/>
      <c r="I26" s="92"/>
      <c r="J26" s="92"/>
      <c r="K26" s="92"/>
    </row>
    <row r="27" spans="1:11" s="34" customFormat="1" ht="30" customHeight="1">
      <c r="A27" s="92"/>
      <c r="B27" s="84" t="s">
        <v>343</v>
      </c>
      <c r="C27" s="393" t="s">
        <v>350</v>
      </c>
      <c r="D27" s="393"/>
      <c r="E27" s="393"/>
      <c r="F27" s="393"/>
      <c r="G27" s="393"/>
      <c r="H27" s="393"/>
      <c r="I27" s="393"/>
      <c r="J27" s="92"/>
      <c r="K27" s="92"/>
    </row>
    <row r="28" spans="1:12" s="34" customFormat="1" ht="15">
      <c r="A28" s="92"/>
      <c r="B28" s="84" t="s">
        <v>343</v>
      </c>
      <c r="C28" s="86" t="s">
        <v>351</v>
      </c>
      <c r="D28" s="94"/>
      <c r="E28" s="92"/>
      <c r="F28" s="92"/>
      <c r="G28" s="92"/>
      <c r="H28" s="92"/>
      <c r="I28" s="92"/>
      <c r="J28" s="82"/>
      <c r="K28" s="82"/>
      <c r="L28"/>
    </row>
    <row r="29" spans="1:12" ht="15">
      <c r="A29" s="92"/>
      <c r="B29" s="84" t="s">
        <v>343</v>
      </c>
      <c r="C29" s="95" t="s">
        <v>352</v>
      </c>
      <c r="D29" s="94"/>
      <c r="E29" s="92"/>
      <c r="F29" s="92"/>
      <c r="G29" s="92"/>
      <c r="H29" s="92"/>
      <c r="I29" s="92"/>
      <c r="J29" s="92"/>
      <c r="K29" s="92"/>
      <c r="L29" s="34"/>
    </row>
    <row r="30" spans="1:11" s="34" customFormat="1" ht="12.75">
      <c r="A30" s="82"/>
      <c r="B30" s="96"/>
      <c r="C30" s="94"/>
      <c r="D30" s="94"/>
      <c r="E30" s="92"/>
      <c r="F30" s="92"/>
      <c r="G30" s="92"/>
      <c r="H30" s="82"/>
      <c r="I30" s="82"/>
      <c r="J30" s="92"/>
      <c r="K30" s="92"/>
    </row>
    <row r="31" spans="1:11" s="34" customFormat="1" ht="18">
      <c r="A31" s="92"/>
      <c r="B31" s="92"/>
      <c r="C31" s="92"/>
      <c r="D31" s="92"/>
      <c r="E31" s="391" t="s">
        <v>318</v>
      </c>
      <c r="F31" s="391"/>
      <c r="G31" s="92"/>
      <c r="H31" s="92"/>
      <c r="I31" s="92"/>
      <c r="J31" s="92"/>
      <c r="K31" s="92"/>
    </row>
    <row r="32" spans="1:11" s="34" customFormat="1" ht="12.75">
      <c r="A32" s="92"/>
      <c r="B32" s="92"/>
      <c r="C32" s="96"/>
      <c r="D32" s="92"/>
      <c r="E32" s="92"/>
      <c r="F32" s="92"/>
      <c r="G32" s="92"/>
      <c r="H32" s="92"/>
      <c r="I32" s="92"/>
      <c r="J32" s="92"/>
      <c r="K32" s="92"/>
    </row>
    <row r="33" spans="1:12" s="34" customFormat="1" ht="12.75">
      <c r="A33" s="92"/>
      <c r="B33" s="92"/>
      <c r="C33" s="96"/>
      <c r="D33" s="92"/>
      <c r="E33" s="92"/>
      <c r="F33" s="92"/>
      <c r="G33" s="97" t="s">
        <v>355</v>
      </c>
      <c r="H33" s="105" t="s">
        <v>354</v>
      </c>
      <c r="I33" s="98"/>
      <c r="J33" s="82"/>
      <c r="K33" s="82"/>
      <c r="L33"/>
    </row>
    <row r="34" spans="1:11" ht="12.75">
      <c r="A34" s="92"/>
      <c r="B34" s="92"/>
      <c r="C34" s="96"/>
      <c r="D34" s="92"/>
      <c r="E34" s="92"/>
      <c r="F34" s="92"/>
      <c r="G34" s="92"/>
      <c r="H34" s="92"/>
      <c r="I34" s="99" t="s">
        <v>361</v>
      </c>
      <c r="J34" s="82"/>
      <c r="K34" s="82"/>
    </row>
    <row r="35" spans="1:11" ht="12.75">
      <c r="A35" s="82"/>
      <c r="B35" s="82"/>
      <c r="C35" s="82"/>
      <c r="D35" s="82"/>
      <c r="E35" s="82"/>
      <c r="F35" s="82"/>
      <c r="G35" s="82"/>
      <c r="H35" s="82"/>
      <c r="I35" s="82"/>
      <c r="J35" s="82"/>
      <c r="K35" s="82"/>
    </row>
    <row r="36" spans="1:11" ht="12.75">
      <c r="A36" s="82"/>
      <c r="B36" s="82"/>
      <c r="C36" s="82"/>
      <c r="D36" s="82"/>
      <c r="E36" s="82"/>
      <c r="F36" s="82"/>
      <c r="G36" s="82"/>
      <c r="H36" s="82"/>
      <c r="I36" s="82"/>
      <c r="J36" s="82"/>
      <c r="K36" s="82"/>
    </row>
    <row r="37" spans="1:11" ht="12.75">
      <c r="A37" s="82"/>
      <c r="B37" s="82"/>
      <c r="C37" s="82"/>
      <c r="D37" s="82"/>
      <c r="E37" s="82"/>
      <c r="F37" s="82"/>
      <c r="G37" s="82"/>
      <c r="H37" s="82"/>
      <c r="I37" s="82"/>
      <c r="J37" s="82"/>
      <c r="K37" s="82"/>
    </row>
    <row r="38" spans="1:11" ht="12.75">
      <c r="A38" s="82"/>
      <c r="B38" s="82"/>
      <c r="C38" s="82"/>
      <c r="D38" s="82"/>
      <c r="E38" s="82"/>
      <c r="F38" s="82"/>
      <c r="G38" s="82"/>
      <c r="H38" s="82"/>
      <c r="I38" s="82"/>
      <c r="J38" s="82"/>
      <c r="K38" s="82"/>
    </row>
    <row r="39" spans="1:9" ht="12.75">
      <c r="A39" s="82"/>
      <c r="B39" s="82"/>
      <c r="C39" s="82"/>
      <c r="D39" s="82"/>
      <c r="E39" s="82"/>
      <c r="F39" s="82"/>
      <c r="G39" s="82"/>
      <c r="H39" s="82"/>
      <c r="I39" s="82"/>
    </row>
    <row r="40" spans="1:9" ht="12.75">
      <c r="A40" s="82"/>
      <c r="B40" s="82"/>
      <c r="C40" s="82"/>
      <c r="D40" s="82"/>
      <c r="E40" s="82"/>
      <c r="F40" s="82"/>
      <c r="G40" s="82"/>
      <c r="H40" s="82"/>
      <c r="I40" s="82"/>
    </row>
  </sheetData>
  <sheetProtection password="DFC5" sheet="1" objects="1" scenarios="1"/>
  <mergeCells count="18">
    <mergeCell ref="B1:I1"/>
    <mergeCell ref="B3:I3"/>
    <mergeCell ref="C9:I9"/>
    <mergeCell ref="B2:I2"/>
    <mergeCell ref="B5:I5"/>
    <mergeCell ref="D16:F16"/>
    <mergeCell ref="C11:I11"/>
    <mergeCell ref="C8:I8"/>
    <mergeCell ref="D14:F14"/>
    <mergeCell ref="D15:F15"/>
    <mergeCell ref="E31:F31"/>
    <mergeCell ref="D17:F17"/>
    <mergeCell ref="D18:F18"/>
    <mergeCell ref="D19:F19"/>
    <mergeCell ref="C21:I21"/>
    <mergeCell ref="C22:I22"/>
    <mergeCell ref="C27:I27"/>
    <mergeCell ref="C23:I23"/>
  </mergeCells>
  <hyperlinks>
    <hyperlink ref="E31:F31" location="Saisie_naissance_annee" display="Aller au calculateur"/>
    <hyperlink ref="H33" r:id="rId1" display="WWW.retraites.gouv.fr "/>
  </hyperlinks>
  <printOptions/>
  <pageMargins left="0.31" right="0.19" top="0.27" bottom="0.33" header="0.26"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K72"/>
  <sheetViews>
    <sheetView showGridLines="0" showRowColHeaders="0" zoomScalePageLayoutView="0" workbookViewId="0" topLeftCell="A1">
      <selection activeCell="E3" sqref="E3"/>
    </sheetView>
  </sheetViews>
  <sheetFormatPr defaultColWidth="11.421875" defaultRowHeight="12.75"/>
  <cols>
    <col min="1" max="1" width="26.00390625" style="0" customWidth="1"/>
    <col min="2" max="2" width="22.7109375" style="0" customWidth="1"/>
    <col min="3" max="3" width="13.8515625" style="0" customWidth="1"/>
    <col min="4" max="4" width="14.00390625" style="0" customWidth="1"/>
    <col min="7" max="7" width="11.57421875" style="0" bestFit="1" customWidth="1"/>
    <col min="8" max="8" width="9.28125" style="0" customWidth="1"/>
  </cols>
  <sheetData>
    <row r="1" spans="1:8" ht="27.75" customHeight="1" thickBot="1" thickTop="1">
      <c r="A1" s="37"/>
      <c r="B1" s="434" t="s">
        <v>328</v>
      </c>
      <c r="C1" s="434"/>
      <c r="D1" s="434"/>
      <c r="E1" s="434"/>
      <c r="F1" s="434"/>
      <c r="G1" s="442"/>
      <c r="H1" s="443"/>
    </row>
    <row r="2" spans="1:8" ht="18" customHeight="1">
      <c r="A2" s="441" t="s">
        <v>356</v>
      </c>
      <c r="B2" s="444" t="s">
        <v>290</v>
      </c>
      <c r="C2" s="445"/>
      <c r="D2" s="446" t="s">
        <v>289</v>
      </c>
      <c r="E2" s="447"/>
      <c r="F2" s="448"/>
      <c r="G2" s="40"/>
      <c r="H2" s="41"/>
    </row>
    <row r="3" spans="1:8" ht="18" customHeight="1">
      <c r="A3" s="441"/>
      <c r="B3" s="42"/>
      <c r="C3" s="43"/>
      <c r="D3" s="44" t="s">
        <v>288</v>
      </c>
      <c r="E3" s="55"/>
      <c r="F3" s="43"/>
      <c r="G3" s="40"/>
      <c r="H3" s="41"/>
    </row>
    <row r="4" spans="1:8" ht="16.5" customHeight="1" thickBot="1">
      <c r="A4" s="441"/>
      <c r="B4" s="46" t="s">
        <v>292</v>
      </c>
      <c r="C4" s="57"/>
      <c r="D4" s="56" t="s">
        <v>127</v>
      </c>
      <c r="E4" s="47"/>
      <c r="F4" s="48"/>
      <c r="G4" s="40"/>
      <c r="H4" s="41"/>
    </row>
    <row r="5" spans="1:8" ht="16.5" customHeight="1" hidden="1">
      <c r="A5" s="49" t="s">
        <v>299</v>
      </c>
      <c r="B5" s="45">
        <v>2</v>
      </c>
      <c r="C5" s="50" t="s">
        <v>298</v>
      </c>
      <c r="D5" s="45">
        <v>2</v>
      </c>
      <c r="E5" s="50" t="s">
        <v>297</v>
      </c>
      <c r="F5" s="51">
        <v>5</v>
      </c>
      <c r="G5" s="50" t="s">
        <v>240</v>
      </c>
      <c r="H5" s="52">
        <v>4</v>
      </c>
    </row>
    <row r="6" spans="1:8" ht="12.75">
      <c r="A6" s="39"/>
      <c r="B6" s="40"/>
      <c r="C6" s="40"/>
      <c r="D6" s="40"/>
      <c r="E6" s="40"/>
      <c r="F6" s="40"/>
      <c r="G6" s="40"/>
      <c r="H6" s="53"/>
    </row>
    <row r="7" spans="1:8" ht="15.75">
      <c r="A7" s="438" t="s">
        <v>13</v>
      </c>
      <c r="B7" s="439"/>
      <c r="C7" s="439"/>
      <c r="D7" s="439"/>
      <c r="E7" s="439"/>
      <c r="F7" s="439"/>
      <c r="G7" s="439"/>
      <c r="H7" s="440"/>
    </row>
    <row r="8" spans="1:8" ht="12.75">
      <c r="A8" s="435" t="s">
        <v>11</v>
      </c>
      <c r="B8" s="436"/>
      <c r="C8" s="436"/>
      <c r="D8" s="436"/>
      <c r="E8" s="436"/>
      <c r="F8" s="436"/>
      <c r="G8" s="436"/>
      <c r="H8" s="437"/>
    </row>
    <row r="9" spans="1:8" ht="18.75" customHeight="1">
      <c r="A9" s="39"/>
      <c r="B9" s="71" t="s">
        <v>12</v>
      </c>
      <c r="C9" s="40"/>
      <c r="D9" s="38"/>
      <c r="E9" s="54"/>
      <c r="F9" s="38"/>
      <c r="G9" s="38"/>
      <c r="H9" s="79"/>
    </row>
    <row r="10" spans="1:8" ht="16.5" customHeight="1">
      <c r="A10" s="72"/>
      <c r="B10" s="78" t="s">
        <v>14</v>
      </c>
      <c r="C10" s="55"/>
      <c r="D10" s="73" t="s">
        <v>317</v>
      </c>
      <c r="E10" s="74"/>
      <c r="F10" s="75"/>
      <c r="G10" s="75"/>
      <c r="H10" s="76"/>
    </row>
    <row r="11" spans="1:8" ht="12.75">
      <c r="A11" s="431">
        <f>Message__SM</f>
      </c>
      <c r="B11" s="432"/>
      <c r="C11" s="432"/>
      <c r="D11" s="432"/>
      <c r="E11" s="432"/>
      <c r="F11" s="432"/>
      <c r="G11" s="432"/>
      <c r="H11" s="433"/>
    </row>
    <row r="12" spans="1:8" ht="25.5" customHeight="1">
      <c r="A12" s="404" t="s">
        <v>357</v>
      </c>
      <c r="B12" s="405"/>
      <c r="C12" s="55"/>
      <c r="D12" s="412" t="s">
        <v>30</v>
      </c>
      <c r="E12" s="412"/>
      <c r="F12" s="412"/>
      <c r="G12" s="412"/>
      <c r="H12" s="413"/>
    </row>
    <row r="13" spans="1:8" ht="24.75" customHeight="1">
      <c r="A13" s="404" t="s">
        <v>23</v>
      </c>
      <c r="B13" s="405"/>
      <c r="C13" s="55"/>
      <c r="D13" s="77" t="s">
        <v>226</v>
      </c>
      <c r="E13" s="14"/>
      <c r="F13" s="429" t="s">
        <v>362</v>
      </c>
      <c r="G13" s="429"/>
      <c r="H13" s="430"/>
    </row>
    <row r="14" spans="1:8" ht="12.75" customHeight="1">
      <c r="A14" s="406" t="str">
        <f>Message_sur_durees</f>
        <v>Indiquer ci-dessous les bonifications du 1/5ème</v>
      </c>
      <c r="B14" s="407"/>
      <c r="C14" s="407"/>
      <c r="D14" s="407"/>
      <c r="E14" s="407"/>
      <c r="F14" s="407"/>
      <c r="G14" s="407"/>
      <c r="H14" s="408"/>
    </row>
    <row r="15" spans="1:8" ht="25.5" customHeight="1">
      <c r="A15" s="404" t="s">
        <v>186</v>
      </c>
      <c r="B15" s="405"/>
      <c r="C15" s="55"/>
      <c r="D15" s="414" t="s">
        <v>300</v>
      </c>
      <c r="E15" s="414"/>
      <c r="F15" s="414"/>
      <c r="G15" s="414"/>
      <c r="H15" s="415"/>
    </row>
    <row r="16" spans="1:8" ht="39.75" customHeight="1">
      <c r="A16" s="404" t="s">
        <v>24</v>
      </c>
      <c r="B16" s="405"/>
      <c r="C16" s="55"/>
      <c r="D16" s="412" t="s">
        <v>232</v>
      </c>
      <c r="E16" s="412"/>
      <c r="F16" s="412"/>
      <c r="G16" s="412"/>
      <c r="H16" s="413"/>
    </row>
    <row r="17" spans="1:8" ht="16.5" customHeight="1" thickBot="1">
      <c r="A17" s="409" t="str">
        <f>Message_saisie_manquante</f>
        <v>SVP, remplissez la zone : Année de naissance</v>
      </c>
      <c r="B17" s="410"/>
      <c r="C17" s="410"/>
      <c r="D17" s="410"/>
      <c r="E17" s="410"/>
      <c r="F17" s="410"/>
      <c r="G17" s="410"/>
      <c r="H17" s="411"/>
    </row>
    <row r="18" spans="1:8" ht="12.75">
      <c r="A18" s="402" t="str">
        <f>texte_si_partez_en</f>
        <v>si vous partez à la retraite fin Février </v>
      </c>
      <c r="B18" s="403"/>
      <c r="C18" s="58" t="str">
        <f>INDEX(Table_Resultats,1,1)</f>
        <v>nd</v>
      </c>
      <c r="D18" s="58" t="str">
        <f>INDEX(Table_Resultats,1,2)</f>
        <v>nd</v>
      </c>
      <c r="E18" s="58" t="str">
        <f>INDEX(Table_Resultats,1,3)</f>
        <v>nd</v>
      </c>
      <c r="F18" s="58" t="str">
        <f>INDEX(Table_Resultats,1,4)</f>
        <v>nd</v>
      </c>
      <c r="G18" s="58" t="str">
        <f>INDEX(Table_Resultats,1,5)</f>
        <v>nd</v>
      </c>
      <c r="H18" s="67" t="str">
        <f>INDEX(Table_Resultats,1,6)</f>
        <v>nd</v>
      </c>
    </row>
    <row r="19" spans="1:8" ht="26.25" customHeight="1">
      <c r="A19" s="418" t="s">
        <v>291</v>
      </c>
      <c r="B19" s="419"/>
      <c r="C19" s="68" t="str">
        <f>INDEX(Table_Resultats,2,1)</f>
        <v>nd</v>
      </c>
      <c r="D19" s="68" t="str">
        <f>INDEX(Table_Resultats,2,2)</f>
        <v>nd</v>
      </c>
      <c r="E19" s="68" t="str">
        <f>INDEX(Table_Resultats,2,3)</f>
        <v>nd</v>
      </c>
      <c r="F19" s="68" t="str">
        <f>INDEX(Table_Resultats,2,4)</f>
        <v>nd</v>
      </c>
      <c r="G19" s="68" t="str">
        <f>INDEX(Table_Resultats,2,5)</f>
        <v>nd</v>
      </c>
      <c r="H19" s="69" t="str">
        <f>INDEX(Table_Resultats,2,6)</f>
        <v>nd</v>
      </c>
    </row>
    <row r="20" spans="1:8" ht="24" customHeight="1" thickBot="1">
      <c r="A20" s="420" t="s">
        <v>215</v>
      </c>
      <c r="B20" s="421"/>
      <c r="C20" s="65" t="str">
        <f>INDEX(Table_Resultats,3,1)</f>
        <v>nd</v>
      </c>
      <c r="D20" s="65" t="str">
        <f>INDEX(Table_Resultats,3,2)</f>
        <v>nd</v>
      </c>
      <c r="E20" s="65" t="str">
        <f>INDEX(Table_Resultats,3,3)</f>
        <v>nd</v>
      </c>
      <c r="F20" s="65" t="str">
        <f>INDEX(Table_Resultats,3,4)</f>
        <v>nd</v>
      </c>
      <c r="G20" s="65" t="str">
        <f>INDEX(Table_Resultats,3,5)</f>
        <v>nd</v>
      </c>
      <c r="H20" s="70" t="str">
        <f>INDEX(Table_Resultats,3,6)</f>
        <v>nd</v>
      </c>
    </row>
    <row r="21" spans="1:8" ht="29.25" customHeight="1" thickBot="1">
      <c r="A21" s="424" t="str">
        <f>Message_divers</f>
        <v>SVP renseignez toutes les cases ou éléments sur fond blanc</v>
      </c>
      <c r="B21" s="425"/>
      <c r="C21" s="425"/>
      <c r="D21" s="425"/>
      <c r="E21" s="425"/>
      <c r="F21" s="425"/>
      <c r="G21" s="425"/>
      <c r="H21" s="426"/>
    </row>
    <row r="22" spans="1:8" ht="30.75" customHeight="1" thickBot="1" thickTop="1">
      <c r="A22" s="424">
        <f>Explique_Taux</f>
      </c>
      <c r="B22" s="425"/>
      <c r="C22" s="425"/>
      <c r="D22" s="425"/>
      <c r="E22" s="425"/>
      <c r="F22" s="425"/>
      <c r="G22" s="425"/>
      <c r="H22" s="426"/>
    </row>
    <row r="23" spans="1:8" s="2" customFormat="1" ht="14.25" thickBot="1" thickTop="1">
      <c r="A23" s="417" t="s">
        <v>261</v>
      </c>
      <c r="B23" s="417"/>
      <c r="C23" s="417"/>
      <c r="D23" s="417"/>
      <c r="E23" s="417"/>
      <c r="F23" s="417"/>
      <c r="G23" s="417"/>
      <c r="H23" s="417"/>
    </row>
    <row r="24" spans="1:9" ht="13.5" thickBot="1">
      <c r="A24" s="427" t="str">
        <f>texte_si_partez_en</f>
        <v>si vous partez à la retraite fin Février </v>
      </c>
      <c r="B24" s="428"/>
      <c r="C24" s="58" t="str">
        <f>INDEX(Table_Resultats,1,1)</f>
        <v>nd</v>
      </c>
      <c r="D24" s="58" t="str">
        <f>INDEX(Table_Resultats,1,2)</f>
        <v>nd</v>
      </c>
      <c r="E24" s="58" t="str">
        <f>INDEX(Table_Resultats,1,3)</f>
        <v>nd</v>
      </c>
      <c r="F24" s="58" t="str">
        <f>INDEX(Table_Resultats,1,4)</f>
        <v>nd</v>
      </c>
      <c r="G24" s="58" t="str">
        <f>INDEX(Table_Resultats,1,5)</f>
        <v>nd</v>
      </c>
      <c r="H24" s="59" t="str">
        <f>INDEX(Table_Resultats,1,6)</f>
        <v>nd</v>
      </c>
      <c r="I24" s="2"/>
    </row>
    <row r="25" spans="1:9" ht="12.75">
      <c r="A25" s="422" t="s">
        <v>59</v>
      </c>
      <c r="B25" s="423"/>
      <c r="C25" s="60" t="str">
        <f>INDEX(Table_Resultats,4,1)</f>
        <v>nd</v>
      </c>
      <c r="D25" s="60" t="str">
        <f>INDEX(Table_Resultats,4,2)</f>
        <v>nd</v>
      </c>
      <c r="E25" s="60" t="str">
        <f>INDEX(Table_Resultats,4,3)</f>
        <v>nd</v>
      </c>
      <c r="F25" s="60" t="str">
        <f>INDEX(Table_Resultats,4,4)</f>
        <v>nd</v>
      </c>
      <c r="G25" s="60" t="str">
        <f>INDEX(Table_Resultats,4,5)</f>
        <v>nd</v>
      </c>
      <c r="H25" s="61" t="str">
        <f>INDEX(Table_Resultats,4,6)</f>
        <v>nd</v>
      </c>
      <c r="I25" s="2"/>
    </row>
    <row r="26" spans="1:9" ht="12.75">
      <c r="A26" s="418" t="s">
        <v>366</v>
      </c>
      <c r="B26" s="419"/>
      <c r="C26" s="62" t="str">
        <f>INDEX(Table_Resultats,5,1)</f>
        <v>nd</v>
      </c>
      <c r="D26" s="62" t="str">
        <f>INDEX(Table_Resultats,5,2)</f>
        <v>nd</v>
      </c>
      <c r="E26" s="62" t="str">
        <f>INDEX(Table_Resultats,5,3)</f>
        <v>nd</v>
      </c>
      <c r="F26" s="62" t="str">
        <f>INDEX(Table_Resultats,5,4)</f>
        <v>nd</v>
      </c>
      <c r="G26" s="62" t="str">
        <f>INDEX(Table_Resultats,5,5)</f>
        <v>nd</v>
      </c>
      <c r="H26" s="63" t="str">
        <f>INDEX(Table_Resultats,5,6)</f>
        <v>nd</v>
      </c>
      <c r="I26" s="2"/>
    </row>
    <row r="27" spans="1:9" ht="13.5" thickBot="1">
      <c r="A27" s="420" t="s">
        <v>252</v>
      </c>
      <c r="B27" s="421"/>
      <c r="C27" s="64" t="str">
        <f>INDEX(Table_Resultats,6,1)</f>
        <v>nd</v>
      </c>
      <c r="D27" s="65" t="str">
        <f>INDEX(Table_Resultats,6,2)</f>
        <v>nd</v>
      </c>
      <c r="E27" s="65" t="str">
        <f>INDEX(Table_Resultats,6,3)</f>
        <v>nd</v>
      </c>
      <c r="F27" s="65" t="str">
        <f>INDEX(Table_Resultats,6,4)</f>
        <v>nd</v>
      </c>
      <c r="G27" s="65" t="str">
        <f>INDEX(Table_Resultats,6,5)</f>
        <v>nd</v>
      </c>
      <c r="H27" s="66" t="str">
        <f>INDEX(Table_Resultats,6,6)</f>
        <v>nd</v>
      </c>
      <c r="I27" s="2"/>
    </row>
    <row r="28" spans="1:9" ht="12.75">
      <c r="A28" s="108">
        <f>IF(AND(C27="oui",C25&gt;0.0001),"L'application du minimum annule l'incidence de la décote","")</f>
      </c>
      <c r="B28" s="106"/>
      <c r="D28" s="107"/>
      <c r="E28" s="107"/>
      <c r="F28" s="107"/>
      <c r="G28" s="107"/>
      <c r="H28" s="107"/>
      <c r="I28" s="2"/>
    </row>
    <row r="29" spans="1:11" ht="12.75">
      <c r="A29" s="416" t="str">
        <f>INDEX(Explication_des_calculs,1,1)</f>
        <v>Eléments de calcul pour un départ à 50 ans</v>
      </c>
      <c r="B29" s="416"/>
      <c r="C29" s="416"/>
      <c r="D29" s="416"/>
      <c r="E29" s="416"/>
      <c r="F29" s="416"/>
      <c r="G29" s="416"/>
      <c r="H29" s="416"/>
      <c r="I29" s="15"/>
      <c r="J29" s="2"/>
      <c r="K29" s="2"/>
    </row>
    <row r="30" spans="1:11" ht="12.75">
      <c r="A30" s="80" t="s">
        <v>365</v>
      </c>
      <c r="B30" s="4"/>
      <c r="C30" s="4"/>
      <c r="D30" s="4"/>
      <c r="E30" s="4"/>
      <c r="F30" s="4"/>
      <c r="G30" s="4"/>
      <c r="H30" s="4"/>
      <c r="I30" s="15"/>
      <c r="J30" s="2"/>
      <c r="K30" s="2"/>
    </row>
    <row r="31" spans="1:11" ht="12.75">
      <c r="A31" s="11" t="str">
        <f>INDEX(Explication_des_calculs,2,1)</f>
        <v>Vous atteindrez l'âge minimum d'ouverture de droit (50ans) en Février 50</v>
      </c>
      <c r="B31" s="10"/>
      <c r="C31" s="10"/>
      <c r="D31" s="10"/>
      <c r="E31" s="10"/>
      <c r="F31" s="10"/>
      <c r="G31" s="10"/>
      <c r="H31" s="12"/>
      <c r="I31" s="15"/>
      <c r="J31" s="2"/>
      <c r="K31" s="2"/>
    </row>
    <row r="32" spans="1:11" ht="12.75">
      <c r="A32" s="3"/>
      <c r="B32" s="3"/>
      <c r="C32" s="3"/>
      <c r="D32" s="3"/>
      <c r="E32" s="3"/>
      <c r="F32" s="3"/>
      <c r="G32" s="3"/>
      <c r="H32" s="3"/>
      <c r="I32" s="15"/>
      <c r="J32" s="2"/>
      <c r="K32" s="2"/>
    </row>
    <row r="33" spans="1:11" ht="12.75">
      <c r="A33" s="33" t="str">
        <f>INDEX(Explication_des_calculs,3,1)</f>
        <v>Durée de service effectif à l'age minimum d'ouverture de droit :</v>
      </c>
      <c r="B33" s="5"/>
      <c r="C33" s="5"/>
      <c r="D33" s="5"/>
      <c r="E33" s="5"/>
      <c r="F33" s="5"/>
      <c r="G33" s="5"/>
      <c r="H33" s="6"/>
      <c r="I33" s="15"/>
      <c r="J33" s="2"/>
      <c r="K33" s="2"/>
    </row>
    <row r="34" spans="1:11" ht="12.75">
      <c r="A34" s="31" t="str">
        <f>INDEX(Explication_des_calculs,4,1)</f>
        <v>Vous avez déclaré avoir effectué 0,00 ans dans la fonction publique au 1/1/2004 soit 0,00 trimestres.</v>
      </c>
      <c r="B34" s="30"/>
      <c r="C34" s="30"/>
      <c r="D34" s="30"/>
      <c r="E34" s="30"/>
      <c r="F34" s="30"/>
      <c r="G34" s="30"/>
      <c r="H34" s="32"/>
      <c r="I34" s="15"/>
      <c r="J34" s="2"/>
      <c r="K34" s="2"/>
    </row>
    <row r="35" spans="1:11" ht="12.75">
      <c r="A35" s="23" t="str">
        <f>INDEX(Explication_des_calculs,5,1)</f>
        <v>Fin Février 50, la durée écoulée depuis le  1/1/2004 sera de -7 815,3 trimestres soit -1 953,83 ans.</v>
      </c>
      <c r="B35" s="7"/>
      <c r="C35" s="13"/>
      <c r="D35" s="24"/>
      <c r="E35" s="24"/>
      <c r="F35" s="24"/>
      <c r="G35" s="16"/>
      <c r="H35" s="19"/>
      <c r="I35" s="15"/>
      <c r="J35" s="2"/>
      <c r="K35" s="2"/>
    </row>
    <row r="36" spans="1:11" ht="12.75">
      <c r="A36" s="25" t="str">
        <f>INDEX(Explication_des_calculs,6,1)</f>
        <v>Votre durée de services effectifs sera alors de -7 815 trimestres ou -1 953,75 ans (arrondi au trimestre)</v>
      </c>
      <c r="B36" s="8"/>
      <c r="C36" s="8"/>
      <c r="D36" s="8"/>
      <c r="E36" s="8"/>
      <c r="F36" s="8"/>
      <c r="G36" s="26"/>
      <c r="H36" s="9"/>
      <c r="I36" s="15"/>
      <c r="J36" s="2"/>
      <c r="K36" s="2"/>
    </row>
    <row r="37" spans="1:11" ht="12.75">
      <c r="A37" s="3"/>
      <c r="B37" s="3"/>
      <c r="C37" s="3"/>
      <c r="D37" s="3"/>
      <c r="E37" s="3"/>
      <c r="F37" s="3"/>
      <c r="G37" s="28"/>
      <c r="H37" s="3"/>
      <c r="I37" s="15"/>
      <c r="J37" s="2"/>
      <c r="K37" s="2"/>
    </row>
    <row r="38" spans="1:11" ht="12.75">
      <c r="A38" s="27" t="str">
        <f>INDEX(Explication_des_calculs,7,1)</f>
        <v>Durée prise en compte pour le calcul de la pension avant décote ou surcote</v>
      </c>
      <c r="B38" s="21"/>
      <c r="C38" s="21"/>
      <c r="D38" s="21"/>
      <c r="E38" s="21"/>
      <c r="F38" s="21"/>
      <c r="G38" s="21"/>
      <c r="H38" s="22"/>
      <c r="I38" s="15"/>
      <c r="J38" s="2"/>
      <c r="K38" s="2"/>
    </row>
    <row r="39" spans="1:11" ht="12.75">
      <c r="A39" s="18" t="str">
        <f>INDEX(Explication_des_calculs,8,1)</f>
        <v>Pas de temps partiel,</v>
      </c>
      <c r="B39" s="16"/>
      <c r="C39" s="16"/>
      <c r="D39" s="16"/>
      <c r="E39" s="16"/>
      <c r="F39" s="16"/>
      <c r="G39" s="16"/>
      <c r="H39" s="19"/>
      <c r="I39" s="15"/>
      <c r="J39" s="2"/>
      <c r="K39" s="2"/>
    </row>
    <row r="40" spans="1:11" ht="12.75">
      <c r="A40" s="18" t="str">
        <f>INDEX(Explication_des_calculs,9,1)</f>
        <v>Bonifications du 1/5ème :  sans objet. </v>
      </c>
      <c r="B40" s="16"/>
      <c r="C40" s="16"/>
      <c r="D40" s="16"/>
      <c r="E40" s="16"/>
      <c r="F40" s="16"/>
      <c r="G40" s="16"/>
      <c r="H40" s="19"/>
      <c r="I40" s="15"/>
      <c r="J40" s="2"/>
      <c r="K40" s="2"/>
    </row>
    <row r="41" spans="1:11" ht="12.75">
      <c r="A41" s="18" t="str">
        <f>INDEX(Explication_des_calculs,10,1)</f>
        <v>Bonifications du 1/5ème (suite) : sans objet.</v>
      </c>
      <c r="B41" s="16"/>
      <c r="C41" s="16"/>
      <c r="D41" s="16"/>
      <c r="E41" s="16"/>
      <c r="F41" s="16"/>
      <c r="G41" s="16"/>
      <c r="H41" s="19"/>
      <c r="I41" s="15"/>
      <c r="J41" s="2"/>
      <c r="K41" s="2"/>
    </row>
    <row r="42" spans="1:11" ht="12.75">
      <c r="A42" s="18" t="e">
        <f>INDEX(Explication_des_calculs,11,1)</f>
        <v>#N/A</v>
      </c>
      <c r="B42" s="16"/>
      <c r="C42" s="16"/>
      <c r="D42" s="16"/>
      <c r="E42" s="16"/>
      <c r="F42" s="16"/>
      <c r="G42" s="16"/>
      <c r="H42" s="19"/>
      <c r="I42" s="15"/>
      <c r="J42" s="2"/>
      <c r="K42" s="2"/>
    </row>
    <row r="43" spans="1:11" ht="12.75">
      <c r="A43" s="18" t="str">
        <f>INDEX(Explication_des_calculs,12,1)</f>
        <v>Autres bonifications : sans objet.</v>
      </c>
      <c r="B43" s="16"/>
      <c r="C43" s="16"/>
      <c r="D43" s="16"/>
      <c r="E43" s="16"/>
      <c r="F43" s="16"/>
      <c r="G43" s="16"/>
      <c r="H43" s="19"/>
      <c r="I43" s="15"/>
      <c r="J43" s="2"/>
      <c r="K43" s="2"/>
    </row>
    <row r="44" spans="1:11" ht="12.75">
      <c r="A44" s="23" t="str">
        <f>INDEX(Explication_des_calculs,13,1)</f>
        <v>Bonifications enfants : sans objet.</v>
      </c>
      <c r="B44" s="16"/>
      <c r="C44" s="16"/>
      <c r="D44" s="16"/>
      <c r="E44" s="16"/>
      <c r="F44" s="16"/>
      <c r="G44" s="16"/>
      <c r="H44" s="19"/>
      <c r="I44" s="15"/>
      <c r="J44" s="2"/>
      <c r="K44" s="2"/>
    </row>
    <row r="45" spans="1:11" ht="12.75">
      <c r="A45" s="23" t="e">
        <f>INDEX(Explication_des_calculs,14,1)</f>
        <v>#N/A</v>
      </c>
      <c r="B45" s="16"/>
      <c r="C45" s="16"/>
      <c r="D45" s="16"/>
      <c r="E45" s="16"/>
      <c r="F45" s="16"/>
      <c r="G45" s="16"/>
      <c r="H45" s="19"/>
      <c r="I45" s="15"/>
      <c r="J45" s="2"/>
      <c r="K45" s="2"/>
    </row>
    <row r="46" spans="1:11" ht="12.75">
      <c r="A46" s="20" t="e">
        <f>INDEX(Explication_des_calculs,15,1)</f>
        <v>#N/A</v>
      </c>
      <c r="B46" s="8"/>
      <c r="C46" s="8"/>
      <c r="D46" s="8"/>
      <c r="E46" s="8"/>
      <c r="F46" s="8"/>
      <c r="G46" s="8"/>
      <c r="H46" s="9"/>
      <c r="I46" s="15"/>
      <c r="J46" s="2"/>
      <c r="K46" s="2"/>
    </row>
    <row r="47" spans="1:11" ht="12.75">
      <c r="A47" s="29"/>
      <c r="B47" s="3"/>
      <c r="C47" s="3"/>
      <c r="D47" s="3"/>
      <c r="E47" s="3"/>
      <c r="F47" s="3"/>
      <c r="G47" s="3"/>
      <c r="H47" s="3"/>
      <c r="I47" s="15"/>
      <c r="J47" s="2"/>
      <c r="K47" s="2"/>
    </row>
    <row r="48" spans="1:11" ht="12.75">
      <c r="A48" s="35" t="str">
        <f>INDEX(Explication_des_calculs,16,1)</f>
        <v>Décote éventuelle</v>
      </c>
      <c r="B48" s="5"/>
      <c r="C48" s="5"/>
      <c r="D48" s="5"/>
      <c r="E48" s="5"/>
      <c r="F48" s="5"/>
      <c r="G48" s="5"/>
      <c r="H48" s="6"/>
      <c r="I48" s="15"/>
      <c r="J48" s="2"/>
      <c r="K48" s="2"/>
    </row>
    <row r="49" spans="1:11" ht="12.75">
      <c r="A49" s="18" t="str">
        <f>INDEX(Explication_des_calculs,17,1)</f>
        <v>La durée utilisée pour le calcul de la décote comprend : -7 815 trimestres de services effectifs,</v>
      </c>
      <c r="B49" s="16"/>
      <c r="C49" s="16"/>
      <c r="D49" s="16"/>
      <c r="E49" s="16"/>
      <c r="F49" s="16"/>
      <c r="G49" s="16"/>
      <c r="H49" s="19"/>
      <c r="I49" s="15"/>
      <c r="J49" s="2"/>
      <c r="K49" s="2"/>
    </row>
    <row r="50" spans="1:11" ht="12.75">
      <c r="A50" s="18" t="str">
        <f>INDEX(Explication_des_calculs,18,1)</f>
        <v>Hospitaliers en service actif : sans objet. </v>
      </c>
      <c r="B50" s="16"/>
      <c r="C50" s="16"/>
      <c r="D50" s="16"/>
      <c r="E50" s="16"/>
      <c r="F50" s="16"/>
      <c r="G50" s="16"/>
      <c r="H50" s="19"/>
      <c r="I50" s="15"/>
      <c r="J50" s="2"/>
      <c r="K50" s="2"/>
    </row>
    <row r="51" spans="1:11" ht="12.75">
      <c r="A51" s="18" t="str">
        <f>INDEX(Explication_des_calculs,19,1)</f>
        <v>On ajoute :   pas de  trimestres autres régimes.</v>
      </c>
      <c r="B51" s="16"/>
      <c r="C51" s="16"/>
      <c r="D51" s="16"/>
      <c r="E51" s="16"/>
      <c r="F51" s="16"/>
      <c r="G51" s="16"/>
      <c r="H51" s="19"/>
      <c r="I51" s="15"/>
      <c r="J51" s="2"/>
      <c r="K51" s="2"/>
    </row>
    <row r="52" spans="1:11" ht="12.75">
      <c r="A52" s="18" t="str">
        <f>INDEX(Explication_des_calculs,20,1)</f>
        <v>Remarque : 0,00 ans de fonction publique et aucune activité autre régime correspondent à un début d'activité à 2 003,94 ans, </v>
      </c>
      <c r="B52" s="16"/>
      <c r="C52" s="16"/>
      <c r="D52" s="16"/>
      <c r="E52" s="16"/>
      <c r="F52" s="16"/>
      <c r="G52" s="16"/>
      <c r="H52" s="19"/>
      <c r="I52" s="15"/>
      <c r="J52" s="2"/>
      <c r="K52" s="2"/>
    </row>
    <row r="53" spans="1:11" ht="12.75">
      <c r="A53" s="18"/>
      <c r="B53" s="16" t="s">
        <v>363</v>
      </c>
      <c r="C53" s="16"/>
      <c r="D53" s="16"/>
      <c r="E53" s="16"/>
      <c r="F53" s="16"/>
      <c r="G53" s="16"/>
      <c r="H53" s="19"/>
      <c r="I53" s="15"/>
      <c r="J53" s="2"/>
      <c r="K53" s="2"/>
    </row>
    <row r="54" spans="1:11" ht="12.75">
      <c r="A54" s="18" t="str">
        <f>INDEX(Explication_des_calculs,21,1)</f>
        <v>Soit une durée totale de -9 378 trimestres ou -2 344,50 ans.</v>
      </c>
      <c r="B54" s="16"/>
      <c r="C54" s="16"/>
      <c r="D54" s="16"/>
      <c r="E54" s="16"/>
      <c r="F54" s="16"/>
      <c r="G54" s="16"/>
      <c r="H54" s="19"/>
      <c r="I54" s="15"/>
      <c r="J54" s="2"/>
      <c r="K54" s="2"/>
    </row>
    <row r="55" spans="1:11" ht="12.75">
      <c r="A55" s="18" t="e">
        <f>INDEX(Explication_des_calculs,22,1)</f>
        <v>#N/A</v>
      </c>
      <c r="B55" s="16"/>
      <c r="C55" s="16"/>
      <c r="D55" s="16"/>
      <c r="E55" s="16"/>
      <c r="F55" s="16"/>
      <c r="G55" s="16"/>
      <c r="H55" s="19"/>
      <c r="I55" s="15"/>
      <c r="J55" s="2"/>
      <c r="K55" s="2"/>
    </row>
    <row r="56" spans="1:11" ht="12.75">
      <c r="A56" s="18" t="e">
        <f>INDEX(Explication_des_calculs,23,1)</f>
        <v>#N/A</v>
      </c>
      <c r="B56" s="16"/>
      <c r="C56" s="16"/>
      <c r="D56" s="16"/>
      <c r="E56" s="16"/>
      <c r="F56" s="16"/>
      <c r="G56" s="16"/>
      <c r="H56" s="19"/>
      <c r="I56" s="15"/>
      <c r="J56" s="2"/>
      <c r="K56" s="2"/>
    </row>
    <row r="57" spans="1:11" ht="12.75">
      <c r="A57" s="36" t="e">
        <f>INDEX(Explication_des_calculs,24,1)</f>
        <v>#N/A</v>
      </c>
      <c r="B57" s="8"/>
      <c r="C57" s="8"/>
      <c r="D57" s="8"/>
      <c r="E57" s="8"/>
      <c r="F57" s="8"/>
      <c r="G57" s="8"/>
      <c r="H57" s="9"/>
      <c r="I57" s="15"/>
      <c r="J57" s="2"/>
      <c r="K57" s="2"/>
    </row>
    <row r="58" spans="1:11" ht="12.75">
      <c r="A58" s="15"/>
      <c r="B58" s="15"/>
      <c r="C58" s="15"/>
      <c r="D58" s="15"/>
      <c r="E58" s="15"/>
      <c r="F58" s="15"/>
      <c r="G58" s="15"/>
      <c r="H58" s="15"/>
      <c r="I58" s="15"/>
      <c r="J58" s="2"/>
      <c r="K58" s="2"/>
    </row>
    <row r="59" spans="1:11" ht="12.75">
      <c r="A59" s="17" t="e">
        <f>INDEX(Explication_des_calculs,25,1)</f>
        <v>#N/A</v>
      </c>
      <c r="B59" s="5"/>
      <c r="C59" s="5"/>
      <c r="D59" s="5"/>
      <c r="E59" s="5"/>
      <c r="F59" s="5"/>
      <c r="G59" s="5"/>
      <c r="H59" s="6"/>
      <c r="I59" s="15"/>
      <c r="J59" s="2"/>
      <c r="K59" s="2"/>
    </row>
    <row r="60" spans="1:11" ht="12.75">
      <c r="A60" s="18" t="e">
        <f>INDEX(Explication_des_calculs,26,1)</f>
        <v>#N/A</v>
      </c>
      <c r="B60" s="16"/>
      <c r="C60" s="16"/>
      <c r="D60" s="16"/>
      <c r="E60" s="16"/>
      <c r="F60" s="16"/>
      <c r="G60" s="16"/>
      <c r="H60" s="19"/>
      <c r="I60" s="15"/>
      <c r="J60" s="2"/>
      <c r="K60" s="2"/>
    </row>
    <row r="61" spans="1:9" ht="12.75">
      <c r="A61" s="20" t="str">
        <f>INDEX(Explication_des_calculs,27,1)</f>
        <v>Majoration pour 3 enfants ou plus : sans objet.</v>
      </c>
      <c r="B61" s="8"/>
      <c r="C61" s="8"/>
      <c r="D61" s="8"/>
      <c r="E61" s="8"/>
      <c r="F61" s="8"/>
      <c r="G61" s="8"/>
      <c r="H61" s="9"/>
      <c r="I61" s="2"/>
    </row>
    <row r="72" ht="12.75">
      <c r="A72" s="1"/>
    </row>
  </sheetData>
  <sheetProtection password="DFC5" sheet="1" objects="1" scenarios="1"/>
  <mergeCells count="29">
    <mergeCell ref="F13:H13"/>
    <mergeCell ref="A11:H11"/>
    <mergeCell ref="B1:F1"/>
    <mergeCell ref="A8:H8"/>
    <mergeCell ref="A7:H7"/>
    <mergeCell ref="A2:A4"/>
    <mergeCell ref="G1:H1"/>
    <mergeCell ref="B2:C2"/>
    <mergeCell ref="D2:F2"/>
    <mergeCell ref="A29:H29"/>
    <mergeCell ref="A23:H23"/>
    <mergeCell ref="A19:B19"/>
    <mergeCell ref="A20:B20"/>
    <mergeCell ref="A25:B25"/>
    <mergeCell ref="A26:B26"/>
    <mergeCell ref="A27:B27"/>
    <mergeCell ref="A22:H22"/>
    <mergeCell ref="A24:B24"/>
    <mergeCell ref="A21:H21"/>
    <mergeCell ref="A18:B18"/>
    <mergeCell ref="A12:B12"/>
    <mergeCell ref="A13:B13"/>
    <mergeCell ref="A15:B15"/>
    <mergeCell ref="A14:H14"/>
    <mergeCell ref="A17:H17"/>
    <mergeCell ref="A16:B16"/>
    <mergeCell ref="D12:H12"/>
    <mergeCell ref="D16:H16"/>
    <mergeCell ref="D15:H15"/>
  </mergeCells>
  <printOptions horizontalCentered="1"/>
  <pageMargins left="0.52" right="0.29" top="0.69" bottom="0.78" header="0.23" footer="0.2"/>
  <pageSetup fitToHeight="1" fitToWidth="1" horizontalDpi="600" verticalDpi="600" orientation="portrait" paperSize="9" scale="80" r:id="rId2"/>
  <headerFooter alignWithMargins="0">
    <oddFooter>&amp;R&amp;8&amp;F &amp;A &amp;D</oddFooter>
  </headerFooter>
  <legacyDrawing r:id="rId1"/>
</worksheet>
</file>

<file path=xl/worksheets/sheet4.xml><?xml version="1.0" encoding="utf-8"?>
<worksheet xmlns="http://schemas.openxmlformats.org/spreadsheetml/2006/main" xmlns:r="http://schemas.openxmlformats.org/officeDocument/2006/relationships">
  <dimension ref="A1:Q236"/>
  <sheetViews>
    <sheetView zoomScalePageLayoutView="0" workbookViewId="0" topLeftCell="A2">
      <selection activeCell="A2" sqref="A2"/>
    </sheetView>
  </sheetViews>
  <sheetFormatPr defaultColWidth="11.421875" defaultRowHeight="12.75"/>
  <cols>
    <col min="1" max="1" width="45.28125" style="112" customWidth="1"/>
    <col min="2" max="2" width="21.00390625" style="207" customWidth="1"/>
    <col min="3" max="3" width="11.421875" style="112" customWidth="1"/>
    <col min="4" max="4" width="15.7109375" style="112" customWidth="1"/>
    <col min="5" max="8" width="11.421875" style="112" customWidth="1"/>
    <col min="9" max="9" width="10.7109375" style="112" customWidth="1"/>
    <col min="10" max="10" width="11.421875" style="112" customWidth="1"/>
    <col min="11" max="11" width="11.421875" style="112" hidden="1" customWidth="1"/>
    <col min="12" max="12" width="12.140625" style="112" hidden="1" customWidth="1"/>
    <col min="13" max="14" width="0" style="112" hidden="1" customWidth="1"/>
    <col min="15" max="15" width="22.00390625" style="112" customWidth="1"/>
    <col min="16" max="23" width="10.7109375" style="112" customWidth="1"/>
    <col min="24" max="16384" width="11.421875" style="112" customWidth="1"/>
  </cols>
  <sheetData>
    <row r="1" spans="1:12" ht="18">
      <c r="A1" s="200" t="s">
        <v>98</v>
      </c>
      <c r="B1" s="201"/>
      <c r="C1" s="202"/>
      <c r="L1" s="200" t="s">
        <v>124</v>
      </c>
    </row>
    <row r="2" spans="1:12" ht="18.75" thickBot="1">
      <c r="A2" s="200"/>
      <c r="B2" s="201"/>
      <c r="C2" s="202"/>
      <c r="L2" s="200"/>
    </row>
    <row r="3" spans="1:12" ht="39" thickBot="1">
      <c r="A3" s="203" t="s">
        <v>259</v>
      </c>
      <c r="B3" s="204" t="s">
        <v>260</v>
      </c>
      <c r="C3" s="205">
        <v>2020</v>
      </c>
      <c r="L3" s="200"/>
    </row>
    <row r="4" spans="1:12" ht="12.75" customHeight="1">
      <c r="A4" s="200"/>
      <c r="B4" s="201"/>
      <c r="C4" s="202"/>
      <c r="L4" s="200"/>
    </row>
    <row r="5" spans="1:12" ht="12.75" customHeight="1">
      <c r="A5" s="206" t="s">
        <v>145</v>
      </c>
      <c r="B5" s="201"/>
      <c r="C5" s="202"/>
      <c r="L5" s="200"/>
    </row>
    <row r="6" spans="1:12" ht="12.75" customHeight="1">
      <c r="A6" s="112" t="s">
        <v>146</v>
      </c>
      <c r="B6" s="206" t="s">
        <v>147</v>
      </c>
      <c r="C6" s="202"/>
      <c r="D6" s="206" t="s">
        <v>148</v>
      </c>
      <c r="L6" s="200"/>
    </row>
    <row r="7" spans="1:12" ht="12.75" customHeight="1">
      <c r="A7" s="200"/>
      <c r="D7" s="112" t="s">
        <v>151</v>
      </c>
      <c r="L7" s="200"/>
    </row>
    <row r="8" spans="1:12" ht="12.75" customHeight="1">
      <c r="A8" s="200"/>
      <c r="D8" s="112" t="s">
        <v>149</v>
      </c>
      <c r="L8" s="200"/>
    </row>
    <row r="9" spans="4:12" ht="12.75">
      <c r="D9" s="112" t="s">
        <v>150</v>
      </c>
      <c r="L9" s="200"/>
    </row>
    <row r="10" spans="1:12" ht="12.75">
      <c r="A10" s="208" t="s">
        <v>296</v>
      </c>
      <c r="B10" s="209"/>
      <c r="C10" s="210"/>
      <c r="L10" s="200"/>
    </row>
    <row r="11" spans="1:12" ht="13.5" thickBot="1">
      <c r="A11" s="208" t="s">
        <v>7</v>
      </c>
      <c r="L11" s="200"/>
    </row>
    <row r="12" spans="1:12" ht="18" customHeight="1" thickBot="1">
      <c r="A12" s="452" t="s">
        <v>138</v>
      </c>
      <c r="B12" s="453"/>
      <c r="C12" s="453"/>
      <c r="D12" s="453"/>
      <c r="E12" s="453"/>
      <c r="F12" s="453"/>
      <c r="G12" s="454"/>
      <c r="L12" s="200"/>
    </row>
    <row r="13" spans="2:12" ht="13.5" thickBot="1">
      <c r="B13" s="112"/>
      <c r="L13" s="200"/>
    </row>
    <row r="14" spans="1:12" ht="13.5" thickTop="1">
      <c r="A14" s="211" t="s">
        <v>101</v>
      </c>
      <c r="B14" s="212" t="s">
        <v>67</v>
      </c>
      <c r="C14" s="213">
        <f>Saisie_naissance_annee</f>
        <v>0</v>
      </c>
      <c r="D14" s="214"/>
      <c r="E14" s="214"/>
      <c r="F14" s="215" t="str">
        <f>IF(ISBLANK(Saisie_naissance_annee),"Année de naissance","")</f>
        <v>Année de naissance</v>
      </c>
      <c r="G14" s="216" t="str">
        <f>F14</f>
        <v>Année de naissance</v>
      </c>
      <c r="L14" s="200"/>
    </row>
    <row r="15" spans="1:12" ht="12.75">
      <c r="A15" s="217" t="s">
        <v>77</v>
      </c>
      <c r="B15" s="137" t="s">
        <v>91</v>
      </c>
      <c r="C15" s="218">
        <f>Saisie_naissance_mois</f>
        <v>2</v>
      </c>
      <c r="D15" s="135"/>
      <c r="E15" s="135"/>
      <c r="F15" s="219">
        <f>IF(ISBLANK(Saisie_naissance_mois),"Mois de naissance","")</f>
      </c>
      <c r="G15" s="220" t="str">
        <f>IF(G14="",F15,G14)</f>
        <v>Année de naissance</v>
      </c>
      <c r="L15" s="200"/>
    </row>
    <row r="16" spans="1:7" ht="12.75">
      <c r="A16" s="217" t="s">
        <v>191</v>
      </c>
      <c r="B16" s="137" t="s">
        <v>192</v>
      </c>
      <c r="C16" s="218">
        <f>Saisie_sexe</f>
        <v>2</v>
      </c>
      <c r="D16" s="135"/>
      <c r="E16" s="135"/>
      <c r="F16" s="219">
        <f>IF(ISBLANK(Saisie_sexe),"Sexe","")</f>
      </c>
      <c r="G16" s="220" t="str">
        <f aca="true" t="shared" si="0" ref="G16:G24">IF(G15="",F16,G15)</f>
        <v>Année de naissance</v>
      </c>
    </row>
    <row r="17" spans="1:8" ht="12.75">
      <c r="A17" s="217" t="s">
        <v>185</v>
      </c>
      <c r="B17" s="137" t="s">
        <v>103</v>
      </c>
      <c r="C17" s="218">
        <f>Saisie_enfants</f>
        <v>0</v>
      </c>
      <c r="D17" s="135"/>
      <c r="E17" s="135"/>
      <c r="F17" s="219" t="str">
        <f>IF(ISBLANK(Saisie_enfants),"Nombre d'enfant(s) (mettre 0 si aucun)","")</f>
        <v>Nombre d'enfant(s) (mettre 0 si aucun)</v>
      </c>
      <c r="G17" s="220" t="str">
        <f t="shared" si="0"/>
        <v>Année de naissance</v>
      </c>
      <c r="H17" s="135"/>
    </row>
    <row r="18" spans="1:12" ht="12.75">
      <c r="A18" s="217" t="s">
        <v>221</v>
      </c>
      <c r="B18" s="137" t="s">
        <v>126</v>
      </c>
      <c r="C18" s="218">
        <f>Saisie_Choix_Cas</f>
        <v>5</v>
      </c>
      <c r="D18" s="135"/>
      <c r="E18" s="135"/>
      <c r="F18" s="219">
        <f>IF(ISBLANK(Saisie_Choix_Cas),"catégorie la plus proche de votre situaion","")</f>
      </c>
      <c r="G18" s="220" t="str">
        <f t="shared" si="0"/>
        <v>Année de naissance</v>
      </c>
      <c r="L18" s="200"/>
    </row>
    <row r="19" spans="1:12" ht="12.75">
      <c r="A19" s="217" t="s">
        <v>130</v>
      </c>
      <c r="B19" s="137" t="s">
        <v>52</v>
      </c>
      <c r="C19" s="218">
        <f>Saisie_Indice</f>
        <v>0</v>
      </c>
      <c r="D19" s="135"/>
      <c r="E19" s="135"/>
      <c r="F19" s="219" t="str">
        <f>IF(ISBLANK(Saisie_Indice),"Votre indice majoré","")</f>
        <v>Votre indice majoré</v>
      </c>
      <c r="G19" s="220" t="str">
        <f t="shared" si="0"/>
        <v>Année de naissance</v>
      </c>
      <c r="L19" s="200"/>
    </row>
    <row r="20" spans="1:12" ht="12.75">
      <c r="A20" s="217" t="s">
        <v>187</v>
      </c>
      <c r="B20" s="137" t="s">
        <v>189</v>
      </c>
      <c r="C20" s="218">
        <f>saisie_annees_tot_FP</f>
        <v>0</v>
      </c>
      <c r="D20" s="135"/>
      <c r="E20" s="135"/>
      <c r="F20" s="219" t="str">
        <f>IF(ISBLANK(saisie_annees_tot_FP),"Nombre d'années effectuées dans la fonction publique","")</f>
        <v>Nombre d'années effectuées dans la fonction publique</v>
      </c>
      <c r="G20" s="220" t="str">
        <f t="shared" si="0"/>
        <v>Année de naissance</v>
      </c>
      <c r="L20" s="200"/>
    </row>
    <row r="21" spans="1:12" ht="12.75">
      <c r="A21" s="217" t="s">
        <v>197</v>
      </c>
      <c r="B21" s="137" t="s">
        <v>190</v>
      </c>
      <c r="C21" s="218">
        <f>Saisie_annees_TP</f>
        <v>0</v>
      </c>
      <c r="D21" s="135"/>
      <c r="E21" s="135"/>
      <c r="F21" s="219" t="str">
        <f>IF(ISBLANK(Saisie_annees_TP),"Dont années à temps partiel (0 si rien)","")</f>
        <v>Dont années à temps partiel (0 si rien)</v>
      </c>
      <c r="G21" s="220" t="str">
        <f t="shared" si="0"/>
        <v>Année de naissance</v>
      </c>
      <c r="L21" s="200"/>
    </row>
    <row r="22" spans="1:12" ht="12.75">
      <c r="A22" s="217" t="s">
        <v>236</v>
      </c>
      <c r="B22" s="137" t="s">
        <v>228</v>
      </c>
      <c r="C22" s="218">
        <f>Saisie_num_taux_TP</f>
        <v>4</v>
      </c>
      <c r="D22" s="135"/>
      <c r="E22" s="135"/>
      <c r="F22" s="219">
        <f>IF(ISBLANK(Saisie_num_taux_TP),"Taux de temps partiel (n'importe lequel si sans objet)","")</f>
      </c>
      <c r="G22" s="220" t="str">
        <f t="shared" si="0"/>
        <v>Année de naissance</v>
      </c>
      <c r="L22" s="200"/>
    </row>
    <row r="23" spans="1:12" ht="12.75">
      <c r="A23" s="217" t="s">
        <v>195</v>
      </c>
      <c r="B23" s="137" t="s">
        <v>196</v>
      </c>
      <c r="C23" s="218">
        <f>Saisie_annees_bonif</f>
        <v>0</v>
      </c>
      <c r="D23" s="135"/>
      <c r="E23" s="135"/>
      <c r="F23" s="219" t="str">
        <f>IF(ISBLANK(Saisie_annees_bonif),"Bonifications (0 si aucune)","")</f>
        <v>Bonifications (0 si aucune)</v>
      </c>
      <c r="G23" s="220" t="str">
        <f t="shared" si="0"/>
        <v>Année de naissance</v>
      </c>
      <c r="L23" s="200"/>
    </row>
    <row r="24" spans="1:12" ht="13.5" thickBot="1">
      <c r="A24" s="221" t="s">
        <v>134</v>
      </c>
      <c r="B24" s="222" t="s">
        <v>135</v>
      </c>
      <c r="C24" s="223">
        <f>Saisie_annuites_AR</f>
        <v>0</v>
      </c>
      <c r="D24" s="224"/>
      <c r="E24" s="224"/>
      <c r="F24" s="225" t="str">
        <f>IF(ISBLANK(Saisie_annuites_AR),"La durée autres régimes (0 si rien)","")</f>
        <v>La durée autres régimes (0 si rien)</v>
      </c>
      <c r="G24" s="226" t="str">
        <f t="shared" si="0"/>
        <v>Année de naissance</v>
      </c>
      <c r="L24" s="200"/>
    </row>
    <row r="25" ht="13.5" thickTop="1"/>
    <row r="26" ht="12.75"/>
    <row r="27" spans="1:7" ht="13.5" thickBot="1">
      <c r="A27" s="227"/>
      <c r="B27" s="137"/>
      <c r="C27" s="218"/>
      <c r="D27" s="135"/>
      <c r="E27" s="135"/>
      <c r="F27" s="135"/>
      <c r="G27" s="135"/>
    </row>
    <row r="28" spans="1:8" ht="16.5" thickBot="1">
      <c r="A28" s="228"/>
      <c r="B28" s="229" t="s">
        <v>8</v>
      </c>
      <c r="C28" s="229"/>
      <c r="D28" s="229"/>
      <c r="E28" s="229"/>
      <c r="F28" s="229"/>
      <c r="G28" s="230"/>
      <c r="H28" s="231"/>
    </row>
    <row r="29" spans="1:8" ht="15.75">
      <c r="A29" s="232"/>
      <c r="B29" s="207" t="s">
        <v>10</v>
      </c>
      <c r="C29" s="233">
        <f>IF(Sexe_1_2=1,"Monsieur, s'il y a lieu, ajoutez la durée de votre service militaire à vos années dans la fonction publique","")</f>
      </c>
      <c r="D29" s="234"/>
      <c r="E29" s="232"/>
      <c r="F29" s="232"/>
      <c r="G29" s="232"/>
      <c r="H29" s="231"/>
    </row>
    <row r="30" spans="2:5" ht="12.75">
      <c r="B30" s="207" t="s">
        <v>315</v>
      </c>
      <c r="C30" s="233" t="str">
        <f>INDEX(Table_Choix_cas,Num_Choix_Cas,7)</f>
        <v>Indiquer ci-dessous les bonifications du 1/5ème</v>
      </c>
      <c r="D30" s="234"/>
      <c r="E30" s="235"/>
    </row>
    <row r="31" spans="1:8" ht="12.75">
      <c r="A31" s="227" t="s">
        <v>311</v>
      </c>
      <c r="B31" s="207" t="s">
        <v>9</v>
      </c>
      <c r="C31" s="112" t="str">
        <f>IF(G24="","","SVP, remplissez la zone : "&amp;G24)</f>
        <v>SVP, remplissez la zone : Année de naissance</v>
      </c>
      <c r="H31" s="236"/>
    </row>
    <row r="32" ht="13.5" thickBot="1">
      <c r="H32" s="236"/>
    </row>
    <row r="33" spans="1:8" ht="16.5" thickBot="1">
      <c r="A33" s="452" t="s">
        <v>102</v>
      </c>
      <c r="B33" s="453"/>
      <c r="C33" s="453"/>
      <c r="D33" s="453"/>
      <c r="E33" s="453"/>
      <c r="F33" s="453"/>
      <c r="G33" s="454"/>
      <c r="H33" s="135"/>
    </row>
    <row r="34" spans="1:8" ht="12.75">
      <c r="A34" s="237"/>
      <c r="B34" s="112"/>
      <c r="D34" s="238"/>
      <c r="G34" s="111"/>
      <c r="H34" s="135"/>
    </row>
    <row r="35" spans="1:8" ht="12.75">
      <c r="A35" s="239" t="str">
        <f>"Vous avez déclaré avoir effectué "&amp;FIXED(annees_tot_FP,2)&amp;" ans dans la fonction publique au 1/1/2004"&amp;" soit "&amp;FIXED(4*annees_tot_FP,2)&amp;" trimestres."</f>
        <v>Vous avez déclaré avoir effectué 0,00 ans dans la fonction publique au 1/1/2004 soit 0,00 trimestres.</v>
      </c>
      <c r="B35" s="240"/>
      <c r="C35" s="241"/>
      <c r="D35" s="241"/>
      <c r="E35" s="210"/>
      <c r="G35" s="111"/>
      <c r="H35" s="135"/>
    </row>
    <row r="36" spans="1:9" ht="12.75">
      <c r="A36" s="242" t="s">
        <v>128</v>
      </c>
      <c r="B36" s="243" t="s">
        <v>129</v>
      </c>
      <c r="C36" s="143">
        <f>2004-(an_naissance+(Mois_naissance-1)/12)+10/365</f>
        <v>2003.9440639269408</v>
      </c>
      <c r="D36" s="238"/>
      <c r="E36" s="235"/>
      <c r="F36" s="235"/>
      <c r="G36" s="244"/>
      <c r="H36" s="135"/>
      <c r="I36" s="187"/>
    </row>
    <row r="37" spans="1:9" ht="12.75">
      <c r="A37" s="242" t="s">
        <v>310</v>
      </c>
      <c r="B37" s="243" t="s">
        <v>29</v>
      </c>
      <c r="C37" s="143">
        <f>Age_31_12_2003-annees_tot_FP-Duree_AR</f>
        <v>2003.9440639269408</v>
      </c>
      <c r="D37" s="238"/>
      <c r="E37" s="235"/>
      <c r="F37" s="235"/>
      <c r="G37" s="244"/>
      <c r="H37" s="135"/>
      <c r="I37" s="187"/>
    </row>
    <row r="38" spans="1:9" ht="12.75">
      <c r="A38" s="239" t="str">
        <f>"Remarque : "&amp;FIXED(annees_tot_FP,2)&amp;" ans de fonction publique et "&amp;IF(Duree_AR&gt;0,FIXED(Duree_AR,2)&amp;" ans","aucune activité")&amp;" autre régime correspondent à un début d'activité à "&amp;FIXED(Age_mini_debut,2)&amp;" ans, "</f>
        <v>Remarque : 0,00 ans de fonction publique et aucune activité autre régime correspondent à un début d'activité à 2 003,94 ans, </v>
      </c>
      <c r="B38" s="245"/>
      <c r="C38" s="241"/>
      <c r="D38" s="245"/>
      <c r="E38" s="245"/>
      <c r="F38" s="246"/>
      <c r="G38" s="135"/>
      <c r="H38" s="135"/>
      <c r="I38" s="187"/>
    </row>
    <row r="39" spans="1:8" ht="12.75">
      <c r="A39" s="242" t="s">
        <v>131</v>
      </c>
      <c r="B39" s="207" t="s">
        <v>132</v>
      </c>
      <c r="C39" s="113" t="str">
        <f>INDEX(Liste_mois,Mois_naissance)</f>
        <v>Février</v>
      </c>
      <c r="D39" s="207"/>
      <c r="E39" s="235"/>
      <c r="G39" s="135"/>
      <c r="H39" s="135"/>
    </row>
    <row r="40" spans="2:7" ht="12.75">
      <c r="B40" s="207" t="s">
        <v>133</v>
      </c>
      <c r="C40" s="112" t="str">
        <f>"si vous partez à la retraite fin "&amp;mois_texte&amp;" "</f>
        <v>si vous partez à la retraite fin Février </v>
      </c>
      <c r="D40" s="207"/>
      <c r="E40" s="235"/>
      <c r="F40" s="235"/>
      <c r="G40" s="235"/>
    </row>
    <row r="41" spans="1:6" ht="12.75">
      <c r="A41" s="200" t="s">
        <v>225</v>
      </c>
      <c r="D41" s="112" t="s">
        <v>95</v>
      </c>
      <c r="F41" s="235"/>
    </row>
    <row r="42" spans="1:6" ht="12.75">
      <c r="A42" s="239" t="s">
        <v>278</v>
      </c>
      <c r="B42" s="245" t="str">
        <f>INDEX(Table_Choix_cas,Num_Choix_Cas,6)</f>
        <v>dès 50 ans (police, pénitentiaire..)</v>
      </c>
      <c r="C42" s="241"/>
      <c r="D42" s="245"/>
      <c r="E42" s="245"/>
      <c r="F42" s="246"/>
    </row>
    <row r="43" spans="1:7" ht="12.75">
      <c r="A43" s="227" t="s">
        <v>123</v>
      </c>
      <c r="B43" s="137"/>
      <c r="C43" s="247" t="str">
        <f>INDEX(Table_Choix_cas,Num_Choix_Cas,1)</f>
        <v>policier</v>
      </c>
      <c r="D43" s="238"/>
      <c r="E43" s="234"/>
      <c r="F43" s="235"/>
      <c r="G43" s="235"/>
    </row>
    <row r="44" spans="1:7" ht="12.75">
      <c r="A44" s="242" t="s">
        <v>73</v>
      </c>
      <c r="B44" s="243" t="s">
        <v>50</v>
      </c>
      <c r="C44" s="143">
        <f>INDEX(Table_Choix_cas,Num_Choix_Cas,2)</f>
        <v>50</v>
      </c>
      <c r="D44" s="238"/>
      <c r="E44" s="235"/>
      <c r="F44" s="235"/>
      <c r="G44" s="235"/>
    </row>
    <row r="45" spans="1:7" ht="12.75">
      <c r="A45" s="242" t="s">
        <v>38</v>
      </c>
      <c r="B45" s="243" t="s">
        <v>51</v>
      </c>
      <c r="C45" s="135">
        <f>INDEX(Table_Choix_cas,Num_Choix_Cas,3)</f>
        <v>55</v>
      </c>
      <c r="D45" s="238"/>
      <c r="E45" s="248"/>
      <c r="G45" s="235"/>
    </row>
    <row r="46" spans="1:5" ht="25.5">
      <c r="A46" s="249" t="s">
        <v>188</v>
      </c>
      <c r="B46" s="137" t="s">
        <v>99</v>
      </c>
      <c r="C46" s="135" t="b">
        <f>INDEX(Table_Choix_cas,Num_Choix_Cas,4)</f>
        <v>0</v>
      </c>
      <c r="D46" s="137"/>
      <c r="E46" s="248"/>
    </row>
    <row r="47" spans="1:5" ht="25.5">
      <c r="A47" s="249" t="s">
        <v>234</v>
      </c>
      <c r="B47" s="137" t="s">
        <v>233</v>
      </c>
      <c r="C47" s="135">
        <f>INDEX(Table_Choix_cas,Num_Choix_Cas,5)</f>
        <v>10</v>
      </c>
      <c r="D47" s="137"/>
      <c r="E47" s="248"/>
    </row>
    <row r="48" spans="2:8" ht="12.75">
      <c r="B48" s="112"/>
      <c r="G48" s="250"/>
      <c r="H48" s="251"/>
    </row>
    <row r="49" spans="1:7" ht="12.75">
      <c r="A49" s="112" t="s">
        <v>222</v>
      </c>
      <c r="B49" s="112"/>
      <c r="G49" s="235"/>
    </row>
    <row r="50" spans="1:7" ht="12.75">
      <c r="A50" s="242" t="s">
        <v>224</v>
      </c>
      <c r="B50" s="243" t="s">
        <v>74</v>
      </c>
      <c r="C50" s="135">
        <f>an_naissance+Age_Ouverture_Droit</f>
        <v>50</v>
      </c>
      <c r="D50" s="238"/>
      <c r="E50" s="248"/>
      <c r="G50" s="235"/>
    </row>
    <row r="51" spans="1:7" ht="12.75">
      <c r="A51" s="242" t="s">
        <v>68</v>
      </c>
      <c r="B51" s="137"/>
      <c r="C51" s="135">
        <f>an_naissance+Limite_Age</f>
        <v>55</v>
      </c>
      <c r="D51" s="238"/>
      <c r="E51" s="248"/>
      <c r="G51" s="248"/>
    </row>
    <row r="52" spans="1:7" ht="12.75">
      <c r="A52" s="239" t="str">
        <f>"Vous atteindrez l'âge minimum d'ouverture de droit ("&amp;FIXED(Age_Ouverture_Droit,0)&amp;"ans) en "&amp;mois_texte&amp;" "&amp;FIXED(An_Min_OD,0)</f>
        <v>Vous atteindrez l'âge minimum d'ouverture de droit (50ans) en Février 50</v>
      </c>
      <c r="B52" s="252"/>
      <c r="C52" s="241"/>
      <c r="D52" s="241" t="s">
        <v>95</v>
      </c>
      <c r="E52" s="210"/>
      <c r="G52" s="138"/>
    </row>
    <row r="53" spans="1:7" ht="12.75">
      <c r="A53" s="253"/>
      <c r="B53" s="137"/>
      <c r="C53" s="135"/>
      <c r="D53" s="135"/>
      <c r="E53" s="248"/>
      <c r="G53" s="138"/>
    </row>
    <row r="54" spans="1:7" ht="12.75">
      <c r="A54" s="253"/>
      <c r="B54" s="137"/>
      <c r="C54" s="135"/>
      <c r="D54" s="135"/>
      <c r="E54" s="248"/>
      <c r="G54" s="138"/>
    </row>
    <row r="55" spans="1:7" ht="12.75">
      <c r="A55" s="253"/>
      <c r="B55" s="137"/>
      <c r="C55" s="135"/>
      <c r="D55" s="135"/>
      <c r="E55" s="248"/>
      <c r="G55" s="138"/>
    </row>
    <row r="56" spans="1:7" ht="12.75">
      <c r="A56" s="253"/>
      <c r="B56" s="137"/>
      <c r="C56" s="135"/>
      <c r="D56" s="135" t="s">
        <v>95</v>
      </c>
      <c r="E56" s="248"/>
      <c r="G56" s="248"/>
    </row>
    <row r="57" spans="1:8" ht="12.75">
      <c r="A57" s="138" t="s">
        <v>203</v>
      </c>
      <c r="D57" s="112" t="s">
        <v>95</v>
      </c>
      <c r="H57" s="254"/>
    </row>
    <row r="58" spans="1:8" ht="12.75">
      <c r="A58" s="112" t="s">
        <v>257</v>
      </c>
      <c r="B58" s="248"/>
      <c r="H58" s="254"/>
    </row>
    <row r="59" spans="1:8" ht="12.75">
      <c r="A59" s="200" t="s">
        <v>104</v>
      </c>
      <c r="B59" s="137" t="s">
        <v>55</v>
      </c>
      <c r="C59" s="255" t="e">
        <f>VLOOKUP(An_Min_OD,Table_nombre_annuites,2)</f>
        <v>#N/A</v>
      </c>
      <c r="D59" s="238"/>
      <c r="H59" s="254"/>
    </row>
    <row r="60" spans="1:4" ht="12.75">
      <c r="A60" s="200" t="s">
        <v>108</v>
      </c>
      <c r="B60" s="137" t="s">
        <v>53</v>
      </c>
      <c r="C60" s="256" t="e">
        <f>VLOOKUP(An_Min_OD,Table_nombre_annuites,4)</f>
        <v>#N/A</v>
      </c>
      <c r="D60" s="238"/>
    </row>
    <row r="61" spans="1:4" ht="12.75">
      <c r="A61" s="200" t="s">
        <v>106</v>
      </c>
      <c r="B61" s="137" t="s">
        <v>54</v>
      </c>
      <c r="C61" s="255" t="e">
        <f>VLOOKUP(An_Min_OD,Table_nombre_annuites,3)</f>
        <v>#N/A</v>
      </c>
      <c r="D61" s="238"/>
    </row>
    <row r="62" spans="1:4" ht="12.75">
      <c r="A62" s="200" t="s">
        <v>305</v>
      </c>
      <c r="B62" s="137" t="s">
        <v>306</v>
      </c>
      <c r="C62" s="257" t="e">
        <f>VLOOKUP(An_Min_OD,Table_nombre_annuites,5)</f>
        <v>#N/A</v>
      </c>
      <c r="D62" s="238"/>
    </row>
    <row r="63" spans="1:8" ht="12.75">
      <c r="A63" s="112" t="s">
        <v>258</v>
      </c>
      <c r="B63" s="137"/>
      <c r="C63" s="255"/>
      <c r="D63" s="238"/>
      <c r="H63" s="254"/>
    </row>
    <row r="64" spans="1:4" ht="12.75">
      <c r="A64" s="200" t="s">
        <v>113</v>
      </c>
      <c r="B64" s="137" t="s">
        <v>114</v>
      </c>
      <c r="C64" s="257" t="e">
        <f>4*Nombre_annuites_cible</f>
        <v>#N/A</v>
      </c>
      <c r="D64" s="238"/>
    </row>
    <row r="65" ht="12.75">
      <c r="A65" s="112" t="s">
        <v>217</v>
      </c>
    </row>
    <row r="66" spans="1:3" ht="12.75">
      <c r="A66" s="200" t="s">
        <v>160</v>
      </c>
      <c r="B66" s="137" t="s">
        <v>161</v>
      </c>
      <c r="C66" s="258" t="e">
        <f>Taux_decote/4</f>
        <v>#N/A</v>
      </c>
    </row>
    <row r="67" spans="1:2" ht="12.75">
      <c r="A67" s="112" t="s">
        <v>218</v>
      </c>
      <c r="B67" s="248"/>
    </row>
    <row r="68" spans="1:4" ht="12.75">
      <c r="A68" s="259" t="s">
        <v>105</v>
      </c>
      <c r="B68" s="137" t="s">
        <v>58</v>
      </c>
      <c r="C68" s="260" t="e">
        <f>IF(Taux_decote&lt;=0,Age_Ouverture_Droit,Limite_Age-Trim_baisse_age_decote/4)</f>
        <v>#N/A</v>
      </c>
      <c r="D68" s="238"/>
    </row>
    <row r="69" spans="1:2" ht="12.75">
      <c r="A69" s="112" t="s">
        <v>256</v>
      </c>
      <c r="B69" s="248"/>
    </row>
    <row r="70" spans="1:5" ht="12.75">
      <c r="A70" s="200" t="s">
        <v>107</v>
      </c>
      <c r="B70" s="137" t="s">
        <v>56</v>
      </c>
      <c r="C70" s="261">
        <v>0.03</v>
      </c>
      <c r="D70" s="262"/>
      <c r="E70" s="200"/>
    </row>
    <row r="71" spans="1:5" ht="12.75">
      <c r="A71" s="200" t="s">
        <v>211</v>
      </c>
      <c r="B71" s="137" t="s">
        <v>180</v>
      </c>
      <c r="C71" s="263">
        <v>60</v>
      </c>
      <c r="D71" s="113"/>
      <c r="E71" s="200"/>
    </row>
    <row r="72" spans="1:5" ht="12.75">
      <c r="A72" s="200"/>
      <c r="B72" s="137"/>
      <c r="C72" s="263"/>
      <c r="D72" s="113"/>
      <c r="E72" s="200"/>
    </row>
    <row r="73" spans="1:5" ht="12.75">
      <c r="A73" s="200" t="s">
        <v>279</v>
      </c>
      <c r="B73" s="137"/>
      <c r="C73" s="137"/>
      <c r="D73" s="113"/>
      <c r="E73" s="200"/>
    </row>
    <row r="74" spans="1:4" ht="25.5">
      <c r="A74" s="264" t="s">
        <v>230</v>
      </c>
      <c r="B74" s="137" t="s">
        <v>229</v>
      </c>
      <c r="C74" s="265">
        <f>INDEX(Liste_taux_temps_partiel,Num_Taux_TP)</f>
        <v>0.8</v>
      </c>
      <c r="D74" s="207"/>
    </row>
    <row r="75" spans="1:2" ht="12.75">
      <c r="A75" s="112" t="s">
        <v>281</v>
      </c>
      <c r="B75" s="248"/>
    </row>
    <row r="76" spans="1:2" ht="12.75">
      <c r="A76" s="112" t="s">
        <v>282</v>
      </c>
      <c r="B76" s="248"/>
    </row>
    <row r="77" spans="1:5" ht="25.5">
      <c r="A77" s="266" t="s">
        <v>198</v>
      </c>
      <c r="B77" s="137" t="s">
        <v>231</v>
      </c>
      <c r="C77" s="143">
        <f>annes_TP*(1-Taux_TP)</f>
        <v>0</v>
      </c>
      <c r="D77" s="137"/>
      <c r="E77" s="135"/>
    </row>
    <row r="78" spans="1:6" ht="12.75">
      <c r="A78" s="267" t="str">
        <f>IF(Minoration_TP&lt;=0,"Pas de temps partiel,","Incidence temps partiel : "&amp;FIXED(annes_TP,2)&amp;" an(s) à "&amp;TEXT(Taux_TP,"00%")&amp;" diminue(nt) la durée prise en compte de "&amp;FIXED(Minoration_TP,2)&amp;" annuité(s) ou "&amp;FIXED(Minoration_TP*4,0)&amp;" trimestre(s).")</f>
        <v>Pas de temps partiel,</v>
      </c>
      <c r="B78" s="209"/>
      <c r="C78" s="241"/>
      <c r="D78" s="209"/>
      <c r="E78" s="241"/>
      <c r="F78" s="210"/>
    </row>
    <row r="79" spans="1:5" ht="12.75">
      <c r="A79" s="200" t="s">
        <v>280</v>
      </c>
      <c r="B79" s="137"/>
      <c r="C79" s="137"/>
      <c r="D79" s="113"/>
      <c r="E79" s="200"/>
    </row>
    <row r="80" spans="1:2" ht="12.75">
      <c r="A80" s="112" t="s">
        <v>264</v>
      </c>
      <c r="B80" s="248"/>
    </row>
    <row r="81" spans="1:5" ht="12.75">
      <c r="A81" s="200" t="s">
        <v>265</v>
      </c>
      <c r="B81" s="137" t="s">
        <v>262</v>
      </c>
      <c r="C81" s="112">
        <f>IF(Age_Ouverture_Droit&lt;55,4*ans_bonif_diverses,0)</f>
        <v>0</v>
      </c>
      <c r="E81" s="200"/>
    </row>
    <row r="82" spans="1:6" ht="12.75">
      <c r="A82" s="267" t="str">
        <f>"Bonifications du 1/5ème : "&amp;IF(Bonif_5eme_Policier&lt;=0," sans objet. ","les "&amp;FIXED(ans_bonif_diverses,2)&amp;" annuités ("&amp;FIXED(Bonif_5eme_Policier,0)&amp;" trimestres) de bonifications déclarées sont traitées comme des bonifications du 1/5ème,")</f>
        <v>Bonifications du 1/5ème :  sans objet. </v>
      </c>
      <c r="B82" s="209"/>
      <c r="C82" s="241"/>
      <c r="D82" s="209"/>
      <c r="E82" s="241"/>
      <c r="F82" s="210"/>
    </row>
    <row r="83" ht="12.75">
      <c r="A83" s="200" t="s">
        <v>266</v>
      </c>
    </row>
    <row r="84" spans="1:5" ht="12.75">
      <c r="A84" s="200" t="s">
        <v>283</v>
      </c>
      <c r="B84" s="137" t="s">
        <v>263</v>
      </c>
      <c r="C84" s="268">
        <f>IF(Age_Ouverture_Droit&gt;=55,4*ans_bonif_diverses,0)</f>
        <v>0</v>
      </c>
      <c r="E84" s="200"/>
    </row>
    <row r="85" spans="1:10" ht="12.75">
      <c r="A85" s="267" t="str">
        <f>"Autres bonifications : "&amp;IF(Bonif_Depaysement&lt;=0,"sans objet.","les "&amp;FIXED(ans_bonif_diverses,2)&amp;" annuités ("&amp;FIXED(Bonif_Depaysement,0)&amp;" trimestres) de bonifications sont traitées comme des bonifications de dépaysement  (article L12).")</f>
        <v>Autres bonifications : sans objet.</v>
      </c>
      <c r="B85" s="209"/>
      <c r="C85" s="241"/>
      <c r="D85" s="209"/>
      <c r="E85" s="241"/>
      <c r="F85" s="210"/>
      <c r="I85" s="269"/>
      <c r="J85" s="269"/>
    </row>
    <row r="86" spans="1:4" ht="12.75">
      <c r="A86" s="138" t="s">
        <v>194</v>
      </c>
      <c r="B86" s="207" t="s">
        <v>193</v>
      </c>
      <c r="C86" s="270">
        <f>IF(Sexe_1_2=2,Nbre_Enfants,0)</f>
        <v>0</v>
      </c>
      <c r="D86" s="207"/>
    </row>
    <row r="87" spans="1:6" ht="12.75">
      <c r="A87" s="267" t="str">
        <f>"Bonifications enfants : "&amp;IF(Ans_bonif_enfants&lt;=0,"sans objet.","Madame, "&amp;FIXED(Nbre_Enfants,0)&amp;" enfant(s) entrainent "&amp;FIXED(Ans_bonif_enfants*4,0)&amp;" trimestres de bonifications.")</f>
        <v>Bonifications enfants : sans objet.</v>
      </c>
      <c r="B87" s="209"/>
      <c r="C87" s="241"/>
      <c r="D87" s="209" t="s">
        <v>95</v>
      </c>
      <c r="E87" s="241"/>
      <c r="F87" s="210"/>
    </row>
    <row r="88" ht="12.75">
      <c r="D88" s="112" t="s">
        <v>95</v>
      </c>
    </row>
    <row r="89" spans="2:4" ht="12.75">
      <c r="B89" s="112"/>
      <c r="D89" s="112" t="s">
        <v>95</v>
      </c>
    </row>
    <row r="90" spans="2:4" ht="12.75">
      <c r="B90" s="112"/>
      <c r="D90" s="112" t="s">
        <v>95</v>
      </c>
    </row>
    <row r="91" spans="1:8" ht="12.75">
      <c r="A91" s="242" t="s">
        <v>204</v>
      </c>
      <c r="B91" s="271" t="s">
        <v>202</v>
      </c>
      <c r="C91" s="135" t="e">
        <f>Ans_bonif_enfants*4+MIN(Nbre_Trim_Max,ROUNDDOWN(((annees_tot_FP-Minoration_TP+An_Min_OD-2004)*4+Mois_naissance/3),0)+ans_bonif_diverses*4)</f>
        <v>#N/A</v>
      </c>
      <c r="D91" s="207"/>
      <c r="H91" s="254"/>
    </row>
    <row r="92" spans="1:8" ht="12.75">
      <c r="A92" s="242"/>
      <c r="B92" s="271"/>
      <c r="C92" s="135"/>
      <c r="D92" s="207"/>
      <c r="H92" s="254"/>
    </row>
    <row r="93" spans="1:8" ht="12.75">
      <c r="A93" s="242" t="s">
        <v>199</v>
      </c>
      <c r="B93" s="207" t="s">
        <v>200</v>
      </c>
      <c r="C93" s="265">
        <f>IF(Nbre_Enfants&gt;=3,10%+5%*MAX(0,Nbre_Enfants-3),0)</f>
        <v>0</v>
      </c>
      <c r="D93" s="207"/>
      <c r="H93" s="254"/>
    </row>
    <row r="94" spans="1:6" ht="12.75">
      <c r="A94" s="267" t="str">
        <f>"Majoration pour 3 enfants ou plus : "&amp;IF(Taux_Maj_3E&gt;0,FIXED(Nbre_Enfants,0)&amp;" enfants entraînent une majoration de votre pension de "&amp;TEXT(Taux_Maj_3E,"0%"),"sans objet.")</f>
        <v>Majoration pour 3 enfants ou plus : sans objet.</v>
      </c>
      <c r="B94" s="209"/>
      <c r="C94" s="241"/>
      <c r="D94" s="209"/>
      <c r="E94" s="241"/>
      <c r="F94" s="210"/>
    </row>
    <row r="95" spans="1:4" ht="12.75">
      <c r="A95" s="200" t="s">
        <v>182</v>
      </c>
      <c r="B95" s="137" t="s">
        <v>57</v>
      </c>
      <c r="C95" s="234">
        <f>Indice_liquidation*Valeur_Point</f>
        <v>0</v>
      </c>
      <c r="D95" s="238"/>
    </row>
    <row r="96" spans="1:6" ht="12.75">
      <c r="A96" s="200" t="s">
        <v>183</v>
      </c>
      <c r="B96" s="271" t="s">
        <v>202</v>
      </c>
      <c r="C96" s="234">
        <f>Traitement_reference*C_Cot_Taitement</f>
        <v>0</v>
      </c>
      <c r="D96" s="238"/>
      <c r="F96" s="234"/>
    </row>
    <row r="97" spans="1:4" ht="13.5" thickBot="1">
      <c r="A97" s="200" t="s">
        <v>125</v>
      </c>
      <c r="B97" s="271" t="s">
        <v>202</v>
      </c>
      <c r="C97" s="234">
        <f>75%*Traitement_reference</f>
        <v>0</v>
      </c>
      <c r="D97" s="238"/>
    </row>
    <row r="98" spans="1:8" ht="59.25" customHeight="1" thickBot="1">
      <c r="A98" s="455" t="s">
        <v>367</v>
      </c>
      <c r="B98" s="456"/>
      <c r="C98" s="456"/>
      <c r="D98" s="456"/>
      <c r="E98" s="456"/>
      <c r="F98" s="456"/>
      <c r="G98" s="456"/>
      <c r="H98" s="457"/>
    </row>
    <row r="99" spans="1:10" ht="12.75">
      <c r="A99" s="272" t="str">
        <f>texte_si_partez_en</f>
        <v>si vous partez à la retraite fin Février </v>
      </c>
      <c r="B99" s="273" t="s">
        <v>96</v>
      </c>
      <c r="C99" s="274">
        <f>An_Min_OD</f>
        <v>50</v>
      </c>
      <c r="D99" s="274">
        <f>C99+1</f>
        <v>51</v>
      </c>
      <c r="E99" s="274">
        <f>D99+1</f>
        <v>52</v>
      </c>
      <c r="F99" s="274">
        <f>E99+1</f>
        <v>53</v>
      </c>
      <c r="G99" s="274">
        <f>F99+1</f>
        <v>54</v>
      </c>
      <c r="H99" s="274">
        <f>G99+1</f>
        <v>55</v>
      </c>
      <c r="J99" s="200" t="s">
        <v>184</v>
      </c>
    </row>
    <row r="100" spans="1:8" ht="12.75">
      <c r="A100" s="275" t="s">
        <v>75</v>
      </c>
      <c r="B100" s="276" t="s">
        <v>152</v>
      </c>
      <c r="C100" s="277">
        <f aca="true" t="shared" si="1" ref="C100:H100">Age_Ouverture_Droit+L_An_Depart-An_Min_OD</f>
        <v>50</v>
      </c>
      <c r="D100" s="277">
        <f t="shared" si="1"/>
        <v>51</v>
      </c>
      <c r="E100" s="277">
        <f t="shared" si="1"/>
        <v>52</v>
      </c>
      <c r="F100" s="277">
        <f t="shared" si="1"/>
        <v>53</v>
      </c>
      <c r="G100" s="277">
        <f t="shared" si="1"/>
        <v>54</v>
      </c>
      <c r="H100" s="277">
        <f t="shared" si="1"/>
        <v>55</v>
      </c>
    </row>
    <row r="101" spans="1:8" ht="12.75">
      <c r="A101" s="278" t="s">
        <v>272</v>
      </c>
      <c r="B101" s="279" t="s">
        <v>273</v>
      </c>
      <c r="C101" s="260">
        <f aca="true" t="shared" si="2" ref="C101:H101">(L_An_Depart-2004)*4+Mois_naissance/3</f>
        <v>-7815.333333333333</v>
      </c>
      <c r="D101" s="260">
        <f t="shared" si="2"/>
        <v>-7811.333333333333</v>
      </c>
      <c r="E101" s="260">
        <f t="shared" si="2"/>
        <v>-7807.333333333333</v>
      </c>
      <c r="F101" s="260">
        <f t="shared" si="2"/>
        <v>-7803.333333333333</v>
      </c>
      <c r="G101" s="260">
        <f t="shared" si="2"/>
        <v>-7799.333333333333</v>
      </c>
      <c r="H101" s="260">
        <f t="shared" si="2"/>
        <v>-7795.333333333333</v>
      </c>
    </row>
    <row r="102" spans="1:8" ht="12.75">
      <c r="A102" s="239" t="str">
        <f>"Fin "&amp;mois_texte&amp;" "&amp;FIXED(An_Min_OD,0)&amp;", la durée écoulée depuis le  1/1/2004 sera de "&amp;FIXED(INDEX(L_Trim_nouveaux,1,3),1)&amp;" trimestres soit "&amp;FIXED(INDEX(L_Trim_nouveaux,1,3)/4,2)&amp;" ans."</f>
        <v>Fin Février 50, la durée écoulée depuis le  1/1/2004 sera de -7 815,3 trimestres soit -1 953,83 ans.</v>
      </c>
      <c r="B102" s="280"/>
      <c r="C102" s="281"/>
      <c r="D102" s="260"/>
      <c r="E102" s="260"/>
      <c r="F102" s="260"/>
      <c r="G102" s="260"/>
      <c r="H102" s="260"/>
    </row>
    <row r="103" spans="1:8" ht="25.5">
      <c r="A103" s="278" t="s">
        <v>270</v>
      </c>
      <c r="B103" s="279" t="s">
        <v>155</v>
      </c>
      <c r="C103" s="187">
        <f aca="true" t="shared" si="3" ref="C103:H103">ROUNDDOWN((annees_tot_FP*4+L_Trim_nouveaux),0)</f>
        <v>-7815</v>
      </c>
      <c r="D103" s="187">
        <f t="shared" si="3"/>
        <v>-7811</v>
      </c>
      <c r="E103" s="187">
        <f t="shared" si="3"/>
        <v>-7807</v>
      </c>
      <c r="F103" s="187">
        <f t="shared" si="3"/>
        <v>-7803</v>
      </c>
      <c r="G103" s="187">
        <f t="shared" si="3"/>
        <v>-7799</v>
      </c>
      <c r="H103" s="187">
        <f t="shared" si="3"/>
        <v>-7795</v>
      </c>
    </row>
    <row r="104" spans="1:8" ht="12.75">
      <c r="A104" s="239" t="str">
        <f>"Votre durée de services effectifs sera alors de "&amp;FIXED(INDEX(L_Trim_services_effectifs,1,3),0)&amp;" trimestres ou "&amp;FIXED(INDEX(L_Trim_services_effectifs,1,3)/4,2)&amp;" ans (arrondi au trimestre)"</f>
        <v>Votre durée de services effectifs sera alors de -7 815 trimestres ou -1 953,75 ans (arrondi au trimestre)</v>
      </c>
      <c r="B104" s="252"/>
      <c r="C104" s="282"/>
      <c r="D104" s="283"/>
      <c r="E104" s="187"/>
      <c r="F104" s="187"/>
      <c r="G104" s="187"/>
      <c r="H104" s="187"/>
    </row>
    <row r="105" spans="1:8" ht="12.75">
      <c r="A105" s="278" t="s">
        <v>271</v>
      </c>
      <c r="B105" s="279" t="s">
        <v>269</v>
      </c>
      <c r="C105" s="187">
        <f aca="true" t="shared" si="4" ref="C105:H105">ROUNDDOWN(4*Minoration_TP,0)</f>
        <v>0</v>
      </c>
      <c r="D105" s="187">
        <f t="shared" si="4"/>
        <v>0</v>
      </c>
      <c r="E105" s="187">
        <f t="shared" si="4"/>
        <v>0</v>
      </c>
      <c r="F105" s="187">
        <f t="shared" si="4"/>
        <v>0</v>
      </c>
      <c r="G105" s="187">
        <f t="shared" si="4"/>
        <v>0</v>
      </c>
      <c r="H105" s="187">
        <f t="shared" si="4"/>
        <v>0</v>
      </c>
    </row>
    <row r="106" spans="1:8" ht="12.75">
      <c r="A106" s="278" t="s">
        <v>268</v>
      </c>
      <c r="B106" s="279" t="s">
        <v>267</v>
      </c>
      <c r="C106" s="187">
        <f aca="true" t="shared" si="5" ref="C106:H106">MIN(20,ROUNDDOWN(Bonif_5eme_Policier+IF(Age_Ouverture_Droit&lt;55,L_Trim_nouveaux*20%,0),0))</f>
        <v>-1563</v>
      </c>
      <c r="D106" s="187">
        <f t="shared" si="5"/>
        <v>-1562</v>
      </c>
      <c r="E106" s="187">
        <f t="shared" si="5"/>
        <v>-1561</v>
      </c>
      <c r="F106" s="187">
        <f t="shared" si="5"/>
        <v>-1560</v>
      </c>
      <c r="G106" s="187">
        <f t="shared" si="5"/>
        <v>-1559</v>
      </c>
      <c r="H106" s="187">
        <f t="shared" si="5"/>
        <v>-1559</v>
      </c>
    </row>
    <row r="107" spans="1:8" ht="13.5" thickBot="1">
      <c r="A107" s="239" t="str">
        <f>"Bonifications du 1/5ème (suite) : "&amp;IF(Bonif_5eme_Policier&lt;=0,"sans objet.","en les prolongeant on obtient "&amp;FIXED(INDEX(L_Bonif_5eme_Policier,1,3),0)&amp;" trimestres (arrondis) de bonifications du 1/5ème (plafonnées à 5 ans).")</f>
        <v>Bonifications du 1/5ème (suite) : sans objet.</v>
      </c>
      <c r="B107" s="252"/>
      <c r="C107" s="282"/>
      <c r="D107" s="283"/>
      <c r="E107" s="284"/>
      <c r="F107" s="284"/>
      <c r="G107" s="284"/>
      <c r="H107" s="284"/>
    </row>
    <row r="108" spans="1:8" ht="26.25" thickTop="1">
      <c r="A108" s="285" t="s">
        <v>115</v>
      </c>
      <c r="B108" s="279" t="s">
        <v>276</v>
      </c>
      <c r="C108" s="187" t="e">
        <f aca="true" t="shared" si="6" ref="C108:H108">MIN(Nbre_Trim_Max,1*L_Trim_services_effectifs-1*L_Trim_mino_TP+1*L_Bonif_5eme_Policier)</f>
        <v>#N/A</v>
      </c>
      <c r="D108" s="187" t="e">
        <f t="shared" si="6"/>
        <v>#N/A</v>
      </c>
      <c r="E108" s="187" t="e">
        <f t="shared" si="6"/>
        <v>#N/A</v>
      </c>
      <c r="F108" s="187" t="e">
        <f t="shared" si="6"/>
        <v>#N/A</v>
      </c>
      <c r="G108" s="187" t="e">
        <f t="shared" si="6"/>
        <v>#N/A</v>
      </c>
      <c r="H108" s="187" t="e">
        <f t="shared" si="6"/>
        <v>#N/A</v>
      </c>
    </row>
    <row r="109" spans="1:8" ht="12.75">
      <c r="A109" s="239" t="e">
        <f>"Sous total (plafonné à "&amp;FIXED(Nbre_Trim_Max,0)&amp;" trimestres) : "&amp;FIXED(INDEX(L_Trim_FP_Plaf,1,3),0)&amp;" trimestres de &lt;service effectif - effet du temps partiel + bonification du 1/5ème&gt; "</f>
        <v>#N/A</v>
      </c>
      <c r="B109" s="239"/>
      <c r="C109" s="239"/>
      <c r="D109" s="239"/>
      <c r="E109" s="187"/>
      <c r="F109" s="187"/>
      <c r="G109" s="187"/>
      <c r="H109" s="187"/>
    </row>
    <row r="110" spans="1:8" ht="12.75">
      <c r="A110" s="285" t="s">
        <v>274</v>
      </c>
      <c r="B110" s="279" t="s">
        <v>275</v>
      </c>
      <c r="C110" s="187" t="e">
        <f aca="true" t="shared" si="7" ref="C110:H110">L_Trim_FP_Plaf+Ans_bonif_enfants*4+Bonif_Depaysement</f>
        <v>#N/A</v>
      </c>
      <c r="D110" s="187" t="e">
        <f t="shared" si="7"/>
        <v>#N/A</v>
      </c>
      <c r="E110" s="187" t="e">
        <f t="shared" si="7"/>
        <v>#N/A</v>
      </c>
      <c r="F110" s="187" t="e">
        <f t="shared" si="7"/>
        <v>#N/A</v>
      </c>
      <c r="G110" s="187" t="e">
        <f t="shared" si="7"/>
        <v>#N/A</v>
      </c>
      <c r="H110" s="187" t="e">
        <f t="shared" si="7"/>
        <v>#N/A</v>
      </c>
    </row>
    <row r="111" spans="1:8" ht="12.75">
      <c r="A111" s="285" t="s">
        <v>324</v>
      </c>
      <c r="B111" s="279" t="s">
        <v>235</v>
      </c>
      <c r="C111" s="286" t="e">
        <f aca="true" t="shared" si="8" ref="C111:H111">MIN(80%,(L_Trim_75_80/Nbre_Trim_Max)*75%)</f>
        <v>#N/A</v>
      </c>
      <c r="D111" s="286" t="e">
        <f t="shared" si="8"/>
        <v>#N/A</v>
      </c>
      <c r="E111" s="286" t="e">
        <f t="shared" si="8"/>
        <v>#N/A</v>
      </c>
      <c r="F111" s="286" t="e">
        <f t="shared" si="8"/>
        <v>#N/A</v>
      </c>
      <c r="G111" s="286" t="e">
        <f t="shared" si="8"/>
        <v>#N/A</v>
      </c>
      <c r="H111" s="286" t="e">
        <f t="shared" si="8"/>
        <v>#N/A</v>
      </c>
    </row>
    <row r="112" spans="1:8" ht="12.75">
      <c r="A112" s="287"/>
      <c r="B112" s="137" t="s">
        <v>325</v>
      </c>
      <c r="C112" s="286" t="e">
        <f>MAX(C111:H111)</f>
        <v>#N/A</v>
      </c>
      <c r="D112" s="286"/>
      <c r="E112" s="286"/>
      <c r="F112" s="286"/>
      <c r="G112" s="286"/>
      <c r="H112" s="286"/>
    </row>
    <row r="113" spans="1:8" ht="12.75">
      <c r="A113" s="239" t="e">
        <f>"D'où un total de "&amp;FIXED(INDEX(L_Trim_75_80,1,3),0)&amp;" trimestres pris en compte donnant un taux de liquidation de "&amp;TEXT(INDEX(L_Taux_A_Liquidation,1,3),"00,00%")&amp;" avant décote ou surcote et/ou minimum ;"</f>
        <v>#N/A</v>
      </c>
      <c r="B113" s="245"/>
      <c r="C113" s="245"/>
      <c r="D113" s="245"/>
      <c r="E113" s="245"/>
      <c r="F113" s="245"/>
      <c r="G113" s="246"/>
      <c r="H113" s="286"/>
    </row>
    <row r="114" spans="1:16" ht="12.75">
      <c r="A114" s="288" t="s">
        <v>37</v>
      </c>
      <c r="B114" s="289" t="s">
        <v>153</v>
      </c>
      <c r="C114" s="234" t="e">
        <f aca="true" t="shared" si="9" ref="C114:H114">L_Taux_A_Liquidation*Traitement_reference</f>
        <v>#N/A</v>
      </c>
      <c r="D114" s="234" t="e">
        <f t="shared" si="9"/>
        <v>#N/A</v>
      </c>
      <c r="E114" s="234" t="e">
        <f t="shared" si="9"/>
        <v>#N/A</v>
      </c>
      <c r="F114" s="234" t="e">
        <f t="shared" si="9"/>
        <v>#N/A</v>
      </c>
      <c r="G114" s="234" t="e">
        <f t="shared" si="9"/>
        <v>#N/A</v>
      </c>
      <c r="H114" s="234" t="e">
        <f t="shared" si="9"/>
        <v>#N/A</v>
      </c>
      <c r="P114" s="290"/>
    </row>
    <row r="115" spans="1:16" ht="12.75">
      <c r="A115" s="239" t="e">
        <f>"conduisant à une pension brute de "&amp;FIXED(INDEX(L_P_brute_prorat,1,3),0)&amp;" €/an (avant décote, surcote, minimum) pour un indice de "&amp;FIXED(Indice_liquidation,0)&amp;" et une valeur du point de "&amp;FIXED(Valeur_Point,4)&amp;"€/an."</f>
        <v>#N/A</v>
      </c>
      <c r="B115" s="245"/>
      <c r="C115" s="245"/>
      <c r="D115" s="245"/>
      <c r="E115" s="245"/>
      <c r="F115" s="245"/>
      <c r="G115" s="246"/>
      <c r="H115" s="291"/>
      <c r="P115" s="290"/>
    </row>
    <row r="116" spans="1:16" ht="12.75">
      <c r="A116" s="292" t="s">
        <v>116</v>
      </c>
      <c r="B116" s="293"/>
      <c r="C116" s="282"/>
      <c r="D116" s="282"/>
      <c r="E116" s="282"/>
      <c r="F116" s="282"/>
      <c r="G116" s="282"/>
      <c r="H116" s="282"/>
      <c r="P116" s="290"/>
    </row>
    <row r="117" spans="1:16" ht="12.75">
      <c r="A117" s="250" t="str">
        <f>"La durée utilisée pour le calcul de la décote comprend : "&amp;FIXED(INDEX(L_Trim_services_effectifs,1,3),0)&amp;" trimestres de services effectifs,"</f>
        <v>La durée utilisée pour le calcul de la décote comprend : -7 815 trimestres de services effectifs,</v>
      </c>
      <c r="B117" s="251"/>
      <c r="C117" s="251"/>
      <c r="D117" s="251"/>
      <c r="E117" s="251"/>
      <c r="F117" s="251"/>
      <c r="G117" s="294"/>
      <c r="H117" s="291"/>
      <c r="P117" s="290"/>
    </row>
    <row r="118" spans="1:16" ht="12.75">
      <c r="A118" s="295" t="s">
        <v>112</v>
      </c>
      <c r="B118" s="296" t="s">
        <v>154</v>
      </c>
      <c r="C118" s="297">
        <f aca="true" t="shared" si="10" ref="C118:H118">ROUNDDOWN(IF(Service_actif_FPH,0.1*L_Trim_services_effectifs,0),0)</f>
        <v>0</v>
      </c>
      <c r="D118" s="297">
        <f t="shared" si="10"/>
        <v>0</v>
      </c>
      <c r="E118" s="297">
        <f t="shared" si="10"/>
        <v>0</v>
      </c>
      <c r="F118" s="297">
        <f t="shared" si="10"/>
        <v>0</v>
      </c>
      <c r="G118" s="297">
        <f t="shared" si="10"/>
        <v>0</v>
      </c>
      <c r="H118" s="297">
        <f t="shared" si="10"/>
        <v>0</v>
      </c>
      <c r="P118" s="290"/>
    </row>
    <row r="119" spans="1:16" ht="12.75">
      <c r="A119" s="298" t="str">
        <f>"Hospitaliers en service actif : "&amp;IF(Service_actif_FPH,"la durée utilisée prend en compte une majoration de durée de 10% soit "&amp;FIXED(INDEX(L_Trim_majo_FPH,1,3),0)&amp;" trimestres.","sans objet. ")</f>
        <v>Hospitaliers en service actif : sans objet. </v>
      </c>
      <c r="B119" s="299"/>
      <c r="C119" s="299"/>
      <c r="D119" s="299"/>
      <c r="E119" s="299"/>
      <c r="F119" s="299"/>
      <c r="G119" s="300"/>
      <c r="H119" s="291"/>
      <c r="P119" s="290"/>
    </row>
    <row r="120" spans="1:16" ht="12.75">
      <c r="A120" s="301" t="str">
        <f>"On ajoute : "&amp;IF((INDEX(L_Bonif_5eme_Policier,1,3)&gt;0),(FIXED(INDEX(L_Bonif_5eme_Policier,1,3),0)&amp;" trimestres de bonifications du 1/5ème, ")," ")&amp;IF(Ans_bonif_enfants*4+Bonif_Depaysement&gt;0,FIXED(Ans_bonif_enfants*4+Bonif_Depaysement,0)&amp;" trimestres de bonifications (enfants, dépaysement ..), "," ")&amp;IF(Duree_AR&gt;0,FIXED(Duree_AR*4,0),"pas de ")&amp;" trimestres autres régimes."</f>
        <v>On ajoute :   pas de  trimestres autres régimes.</v>
      </c>
      <c r="B120" s="302"/>
      <c r="C120" s="302"/>
      <c r="D120" s="302"/>
      <c r="E120" s="302"/>
      <c r="F120" s="302"/>
      <c r="G120" s="303"/>
      <c r="H120" s="291"/>
      <c r="P120" s="290"/>
    </row>
    <row r="121" spans="1:17" ht="12.75">
      <c r="A121" s="304" t="s">
        <v>76</v>
      </c>
      <c r="B121" s="276" t="s">
        <v>97</v>
      </c>
      <c r="C121" s="305">
        <f aca="true" t="shared" si="11" ref="C121:H121">L_Trim_services_effectifs+Ans_bonif_enfants*4+Duree_AR*4+Bonif_Depaysement+L_Bonif_5eme_Policier+L_Trim_majo_FPH</f>
        <v>-9378</v>
      </c>
      <c r="D121" s="305">
        <f t="shared" si="11"/>
        <v>-9373</v>
      </c>
      <c r="E121" s="305">
        <f t="shared" si="11"/>
        <v>-9368</v>
      </c>
      <c r="F121" s="305">
        <f t="shared" si="11"/>
        <v>-9363</v>
      </c>
      <c r="G121" s="305">
        <f t="shared" si="11"/>
        <v>-9358</v>
      </c>
      <c r="H121" s="305">
        <f t="shared" si="11"/>
        <v>-9354</v>
      </c>
      <c r="P121" s="306"/>
      <c r="Q121" s="307"/>
    </row>
    <row r="122" spans="1:17" ht="12.75">
      <c r="A122" s="239" t="str">
        <f>"Soit une durée totale de "&amp;FIXED(INDEX(L_Trim_TR,1,3),0)&amp;" trimestres ou "&amp;FIXED(INDEX(L_Trim_TR,1,3)/4,2)&amp;" ans."</f>
        <v>Soit une durée totale de -9 378 trimestres ou -2 344,50 ans.</v>
      </c>
      <c r="B122" s="245"/>
      <c r="C122" s="245"/>
      <c r="D122" s="245"/>
      <c r="E122" s="245"/>
      <c r="F122" s="245"/>
      <c r="G122" s="246"/>
      <c r="H122" s="187"/>
      <c r="P122" s="306"/>
      <c r="Q122" s="307"/>
    </row>
    <row r="123" spans="1:8" ht="12.75">
      <c r="A123" s="308" t="s">
        <v>59</v>
      </c>
      <c r="B123" s="276"/>
      <c r="C123" s="187"/>
      <c r="D123" s="187"/>
      <c r="E123" s="187"/>
      <c r="F123" s="187"/>
      <c r="G123" s="187"/>
      <c r="H123" s="187"/>
    </row>
    <row r="124" spans="1:16" ht="12.75">
      <c r="A124" s="309" t="s">
        <v>157</v>
      </c>
      <c r="B124" s="279" t="s">
        <v>158</v>
      </c>
      <c r="C124" s="310" t="e">
        <f aca="true" t="shared" si="12" ref="C124:H124">MAX(Nombre_annuites_cible*4-L_Trim_TR,0)</f>
        <v>#N/A</v>
      </c>
      <c r="D124" s="310" t="e">
        <f t="shared" si="12"/>
        <v>#N/A</v>
      </c>
      <c r="E124" s="310" t="e">
        <f t="shared" si="12"/>
        <v>#N/A</v>
      </c>
      <c r="F124" s="310" t="e">
        <f t="shared" si="12"/>
        <v>#N/A</v>
      </c>
      <c r="G124" s="310" t="e">
        <f t="shared" si="12"/>
        <v>#N/A</v>
      </c>
      <c r="H124" s="310" t="e">
        <f t="shared" si="12"/>
        <v>#N/A</v>
      </c>
      <c r="P124" s="311"/>
    </row>
    <row r="125" spans="1:16" ht="12.75">
      <c r="A125" s="239" t="e">
        <f>IF(INDEX(L_Trim_TR,1,3)&lt;Nombre_annuites_cible*4,"Il vous manque "&amp;FIXED(INDEX(L_manque_TR,1,3),0)&amp;" trimestres pour atteindre les ","Vous atteignez ou dépassez les ")&amp;(FIXED(Nombre_annuites_cible,2)&amp;" années nécessaires en "&amp;FIXED(An_Min_OD,0))</f>
        <v>#N/A</v>
      </c>
      <c r="B125" s="245"/>
      <c r="C125" s="245"/>
      <c r="D125" s="245"/>
      <c r="E125" s="245"/>
      <c r="F125" s="245"/>
      <c r="G125" s="246"/>
      <c r="H125" s="187"/>
      <c r="P125" s="311"/>
    </row>
    <row r="126" spans="1:16" ht="12.75">
      <c r="A126" s="285" t="s">
        <v>39</v>
      </c>
      <c r="B126" s="289" t="s">
        <v>156</v>
      </c>
      <c r="C126" s="312" t="e">
        <f aca="true" t="shared" si="13" ref="C126:H126">MAX((Age_limite_decote-L_age_atteint)*4,0)</f>
        <v>#N/A</v>
      </c>
      <c r="D126" s="312" t="e">
        <f t="shared" si="13"/>
        <v>#N/A</v>
      </c>
      <c r="E126" s="312" t="e">
        <f t="shared" si="13"/>
        <v>#N/A</v>
      </c>
      <c r="F126" s="312" t="e">
        <f t="shared" si="13"/>
        <v>#N/A</v>
      </c>
      <c r="G126" s="312" t="e">
        <f t="shared" si="13"/>
        <v>#N/A</v>
      </c>
      <c r="H126" s="312" t="e">
        <f t="shared" si="13"/>
        <v>#N/A</v>
      </c>
      <c r="P126" s="311"/>
    </row>
    <row r="127" spans="1:16" ht="12.75">
      <c r="A127" s="239" t="e">
        <f>"Quelle que soit votre durée validée, à "&amp;FIXED(Age_limite_decote,2)&amp;" ans"&amp;IF(INDEX(L_manque_age,1,3)&gt;0," ("&amp;FIXED(INDEX(L_manque_age,1,3),0)&amp;" trimestres au-delà de "&amp;FIXED(Age_Ouverture_Droit,0)&amp;" ans)","")&amp;", la décote est supprimée"</f>
        <v>#N/A</v>
      </c>
      <c r="B127" s="245"/>
      <c r="C127" s="245"/>
      <c r="D127" s="245"/>
      <c r="E127" s="245"/>
      <c r="F127" s="245"/>
      <c r="G127" s="246"/>
      <c r="H127" s="312"/>
      <c r="P127" s="311"/>
    </row>
    <row r="128" spans="1:16" ht="12.75">
      <c r="A128" s="309" t="s">
        <v>92</v>
      </c>
      <c r="B128" s="279" t="s">
        <v>159</v>
      </c>
      <c r="C128" s="313" t="e">
        <f aca="true" t="shared" si="14" ref="C128:H128">MIN(1*L_manque_age,1*L_manque_TR,Max_Trim_decote)</f>
        <v>#N/A</v>
      </c>
      <c r="D128" s="313" t="e">
        <f t="shared" si="14"/>
        <v>#N/A</v>
      </c>
      <c r="E128" s="313" t="e">
        <f t="shared" si="14"/>
        <v>#N/A</v>
      </c>
      <c r="F128" s="313" t="e">
        <f t="shared" si="14"/>
        <v>#N/A</v>
      </c>
      <c r="G128" s="313" t="e">
        <f t="shared" si="14"/>
        <v>#N/A</v>
      </c>
      <c r="H128" s="313" t="e">
        <f t="shared" si="14"/>
        <v>#N/A</v>
      </c>
      <c r="P128" s="311"/>
    </row>
    <row r="129" spans="1:16" ht="12.75">
      <c r="A129" s="285" t="s">
        <v>244</v>
      </c>
      <c r="B129" s="279" t="s">
        <v>245</v>
      </c>
      <c r="C129" s="286" t="e">
        <f aca="true" t="shared" si="15" ref="C129:H129">L_Nb_trim_decote*Taux_decote_trim</f>
        <v>#N/A</v>
      </c>
      <c r="D129" s="286" t="e">
        <f t="shared" si="15"/>
        <v>#N/A</v>
      </c>
      <c r="E129" s="286" t="e">
        <f t="shared" si="15"/>
        <v>#N/A</v>
      </c>
      <c r="F129" s="286" t="e">
        <f t="shared" si="15"/>
        <v>#N/A</v>
      </c>
      <c r="G129" s="286" t="e">
        <f t="shared" si="15"/>
        <v>#N/A</v>
      </c>
      <c r="H129" s="286" t="e">
        <f t="shared" si="15"/>
        <v>#N/A</v>
      </c>
      <c r="P129" s="311"/>
    </row>
    <row r="130" spans="1:16" ht="12.75">
      <c r="A130" s="239" t="e">
        <f>IF((INDEX(L_Nb_trim_decote,1,3)&lt;=0),"Il n'y a pas de décote.","On retient "&amp;FIXED(INDEX(L_Nb_trim_decote,1,3),0)&amp;" trimestre(s)"&amp;IF((INDEX(L_Nb_trim_decote,1,3)=Max_Trim_decote)," (plafond)","")&amp;", ce qui entraîne une décote de "&amp;TEXT(INDEX(L_incidence_decote,1,3),"0,00%"))</f>
        <v>#N/A</v>
      </c>
      <c r="B130" s="245"/>
      <c r="C130" s="245"/>
      <c r="D130" s="245"/>
      <c r="E130" s="245"/>
      <c r="F130" s="245"/>
      <c r="G130" s="246"/>
      <c r="H130" s="286"/>
      <c r="P130" s="311"/>
    </row>
    <row r="131" spans="1:8" ht="12.75">
      <c r="A131" s="314" t="s">
        <v>71</v>
      </c>
      <c r="B131" s="293"/>
      <c r="C131" s="315"/>
      <c r="D131" s="315"/>
      <c r="E131" s="315"/>
      <c r="F131" s="315"/>
      <c r="G131" s="315"/>
      <c r="H131" s="315"/>
    </row>
    <row r="132" spans="1:8" ht="12.75">
      <c r="A132" s="316" t="s">
        <v>241</v>
      </c>
      <c r="B132" s="317"/>
      <c r="C132" s="318"/>
      <c r="D132" s="318"/>
      <c r="E132" s="318"/>
      <c r="F132" s="318"/>
      <c r="G132" s="318"/>
      <c r="H132" s="318"/>
    </row>
    <row r="133" spans="1:8" ht="12.75">
      <c r="A133" s="319" t="s">
        <v>242</v>
      </c>
      <c r="B133" s="289" t="s">
        <v>277</v>
      </c>
      <c r="C133" s="187">
        <f aca="true" t="shared" si="16" ref="C133:H133">L_Trim_TR-L_Trim_majo_FPH</f>
        <v>-9378</v>
      </c>
      <c r="D133" s="187">
        <f t="shared" si="16"/>
        <v>-9373</v>
      </c>
      <c r="E133" s="187">
        <f t="shared" si="16"/>
        <v>-9368</v>
      </c>
      <c r="F133" s="187">
        <f t="shared" si="16"/>
        <v>-9363</v>
      </c>
      <c r="G133" s="187">
        <f t="shared" si="16"/>
        <v>-9358</v>
      </c>
      <c r="H133" s="187">
        <f t="shared" si="16"/>
        <v>-9354</v>
      </c>
    </row>
    <row r="134" spans="1:8" ht="12.75">
      <c r="A134" s="316" t="s">
        <v>69</v>
      </c>
      <c r="B134" s="279" t="s">
        <v>162</v>
      </c>
      <c r="C134" s="187" t="e">
        <f aca="true" t="shared" si="17" ref="C134:H134">MAX(L_trim_TR_surcote-Nombre_annuites_cible*4,0)</f>
        <v>#N/A</v>
      </c>
      <c r="D134" s="187" t="e">
        <f t="shared" si="17"/>
        <v>#N/A</v>
      </c>
      <c r="E134" s="187" t="e">
        <f t="shared" si="17"/>
        <v>#N/A</v>
      </c>
      <c r="F134" s="187" t="e">
        <f t="shared" si="17"/>
        <v>#N/A</v>
      </c>
      <c r="G134" s="187" t="e">
        <f t="shared" si="17"/>
        <v>#N/A</v>
      </c>
      <c r="H134" s="187" t="e">
        <f t="shared" si="17"/>
        <v>#N/A</v>
      </c>
    </row>
    <row r="135" spans="1:8" ht="25.5">
      <c r="A135" s="320" t="s">
        <v>181</v>
      </c>
      <c r="B135" s="279" t="s">
        <v>163</v>
      </c>
      <c r="C135" s="321">
        <f aca="true" t="shared" si="18" ref="C135:H135">MAX((L_age_atteint-age_min_surcote)*4,0)</f>
        <v>0</v>
      </c>
      <c r="D135" s="321">
        <f t="shared" si="18"/>
        <v>0</v>
      </c>
      <c r="E135" s="321">
        <f t="shared" si="18"/>
        <v>0</v>
      </c>
      <c r="F135" s="321">
        <f t="shared" si="18"/>
        <v>0</v>
      </c>
      <c r="G135" s="321">
        <f t="shared" si="18"/>
        <v>0</v>
      </c>
      <c r="H135" s="321">
        <f t="shared" si="18"/>
        <v>0</v>
      </c>
    </row>
    <row r="136" spans="1:8" ht="12.75">
      <c r="A136" s="322" t="s">
        <v>70</v>
      </c>
      <c r="B136" s="276" t="s">
        <v>164</v>
      </c>
      <c r="C136" s="305">
        <f aca="true" t="shared" si="19" ref="C136:H136">ROUNDDOWN(L_Trim_nouveaux,0)</f>
        <v>-7815</v>
      </c>
      <c r="D136" s="305">
        <f t="shared" si="19"/>
        <v>-7811</v>
      </c>
      <c r="E136" s="305">
        <f t="shared" si="19"/>
        <v>-7807</v>
      </c>
      <c r="F136" s="305">
        <f t="shared" si="19"/>
        <v>-7803</v>
      </c>
      <c r="G136" s="305">
        <f t="shared" si="19"/>
        <v>-7799</v>
      </c>
      <c r="H136" s="305">
        <f t="shared" si="19"/>
        <v>-7795</v>
      </c>
    </row>
    <row r="137" spans="1:8" ht="12.75">
      <c r="A137" s="323" t="s">
        <v>285</v>
      </c>
      <c r="B137" s="279" t="s">
        <v>165</v>
      </c>
      <c r="C137" s="321" t="e">
        <f aca="true" t="shared" si="20" ref="C137:H137">ROUND(MIN(1*L_depasse_TR,1*L_depasse_age,1*L_depasse_2004),0)</f>
        <v>#N/A</v>
      </c>
      <c r="D137" s="321" t="e">
        <f t="shared" si="20"/>
        <v>#N/A</v>
      </c>
      <c r="E137" s="321" t="e">
        <f t="shared" si="20"/>
        <v>#N/A</v>
      </c>
      <c r="F137" s="321" t="e">
        <f t="shared" si="20"/>
        <v>#N/A</v>
      </c>
      <c r="G137" s="321" t="e">
        <f t="shared" si="20"/>
        <v>#N/A</v>
      </c>
      <c r="H137" s="321" t="e">
        <f t="shared" si="20"/>
        <v>#N/A</v>
      </c>
    </row>
    <row r="138" spans="1:8" ht="12.75">
      <c r="A138" s="323" t="s">
        <v>246</v>
      </c>
      <c r="B138" s="279" t="s">
        <v>247</v>
      </c>
      <c r="C138" s="286" t="e">
        <f aca="true" t="shared" si="21" ref="C138:H138">L_Nb_trim_surcote*taux_surcote/4</f>
        <v>#N/A</v>
      </c>
      <c r="D138" s="286" t="e">
        <f t="shared" si="21"/>
        <v>#N/A</v>
      </c>
      <c r="E138" s="286" t="e">
        <f t="shared" si="21"/>
        <v>#N/A</v>
      </c>
      <c r="F138" s="286" t="e">
        <f t="shared" si="21"/>
        <v>#N/A</v>
      </c>
      <c r="G138" s="286" t="e">
        <f t="shared" si="21"/>
        <v>#N/A</v>
      </c>
      <c r="H138" s="286" t="e">
        <f t="shared" si="21"/>
        <v>#N/A</v>
      </c>
    </row>
    <row r="139" spans="1:8" ht="12.75">
      <c r="A139" s="239" t="s">
        <v>286</v>
      </c>
      <c r="B139" s="245" t="s">
        <v>287</v>
      </c>
      <c r="C139" s="245" t="e">
        <f>IF(D138&gt;0,2,IF(E138&gt;0,3,IF(F138&gt;0,4,IF(G138&gt;0,5,IF(H138&gt;0,6,0)))))</f>
        <v>#N/A</v>
      </c>
      <c r="D139" s="324" t="s">
        <v>293</v>
      </c>
      <c r="E139" s="286"/>
      <c r="F139" s="286"/>
      <c r="G139" s="286"/>
      <c r="H139" s="286"/>
    </row>
    <row r="140" spans="1:8" ht="13.5" thickBot="1">
      <c r="A140" s="239" t="e">
        <f>IF(Rang_an_surcote&gt;0,"Votre pension peut être majorée (surcote) à partir de "&amp;FIXED(INDEX(L_An_Depart,1,2+Rang_an_surcote),0),"Surcote : sans objet.")</f>
        <v>#N/A</v>
      </c>
      <c r="B140" s="245"/>
      <c r="C140" s="245"/>
      <c r="D140" s="286"/>
      <c r="E140" s="286"/>
      <c r="F140" s="286"/>
      <c r="G140" s="286"/>
      <c r="H140" s="286"/>
    </row>
    <row r="141" spans="1:8" ht="13.5" thickBot="1">
      <c r="A141" s="325" t="s">
        <v>44</v>
      </c>
      <c r="B141" s="204" t="s">
        <v>166</v>
      </c>
      <c r="C141" s="326" t="e">
        <f aca="true" t="shared" si="22" ref="C141:H141">L_P_brute_prorat*(1-L_incidence_decote)*(1+L_incidence_surcote)</f>
        <v>#N/A</v>
      </c>
      <c r="D141" s="326" t="e">
        <f t="shared" si="22"/>
        <v>#N/A</v>
      </c>
      <c r="E141" s="326" t="e">
        <f t="shared" si="22"/>
        <v>#N/A</v>
      </c>
      <c r="F141" s="326" t="e">
        <f t="shared" si="22"/>
        <v>#N/A</v>
      </c>
      <c r="G141" s="326" t="e">
        <f t="shared" si="22"/>
        <v>#N/A</v>
      </c>
      <c r="H141" s="326" t="e">
        <f t="shared" si="22"/>
        <v>#N/A</v>
      </c>
    </row>
    <row r="142" spans="1:8" ht="12.75">
      <c r="A142" s="327"/>
      <c r="B142" s="279"/>
      <c r="C142" s="234"/>
      <c r="D142" s="234"/>
      <c r="E142" s="234"/>
      <c r="F142" s="234"/>
      <c r="G142" s="234"/>
      <c r="H142" s="234"/>
    </row>
    <row r="143" spans="1:8" ht="13.5" thickBot="1">
      <c r="A143" s="328" t="s">
        <v>93</v>
      </c>
      <c r="B143" s="279"/>
      <c r="C143" s="234"/>
      <c r="D143" s="234"/>
      <c r="E143" s="234"/>
      <c r="F143" s="234"/>
      <c r="G143" s="234"/>
      <c r="H143" s="234"/>
    </row>
    <row r="144" spans="1:8" ht="12.75">
      <c r="A144" s="272" t="str">
        <f>texte_si_partez_en</f>
        <v>si vous partez à la retraite fin Février </v>
      </c>
      <c r="B144" s="329" t="s">
        <v>202</v>
      </c>
      <c r="C144" s="330">
        <f aca="true" t="shared" si="23" ref="C144:H144">L_An_Depart</f>
        <v>50</v>
      </c>
      <c r="D144" s="330">
        <f t="shared" si="23"/>
        <v>51</v>
      </c>
      <c r="E144" s="330">
        <f t="shared" si="23"/>
        <v>52</v>
      </c>
      <c r="F144" s="330">
        <f t="shared" si="23"/>
        <v>53</v>
      </c>
      <c r="G144" s="330">
        <f t="shared" si="23"/>
        <v>54</v>
      </c>
      <c r="H144" s="330">
        <f t="shared" si="23"/>
        <v>55</v>
      </c>
    </row>
    <row r="145" spans="1:8" ht="38.25">
      <c r="A145" s="285" t="s">
        <v>109</v>
      </c>
      <c r="B145" s="279" t="s">
        <v>167</v>
      </c>
      <c r="C145" s="144" t="e">
        <f aca="true" t="shared" si="24" ref="C145:H145">VLOOKUP(L_An_Depart,Table_Minimum,COLUMN(Mini_15_ans))</f>
        <v>#N/A</v>
      </c>
      <c r="D145" s="144" t="e">
        <f t="shared" si="24"/>
        <v>#N/A</v>
      </c>
      <c r="E145" s="144" t="e">
        <f t="shared" si="24"/>
        <v>#N/A</v>
      </c>
      <c r="F145" s="144" t="e">
        <f t="shared" si="24"/>
        <v>#N/A</v>
      </c>
      <c r="G145" s="144" t="e">
        <f t="shared" si="24"/>
        <v>#N/A</v>
      </c>
      <c r="H145" s="144" t="e">
        <f t="shared" si="24"/>
        <v>#N/A</v>
      </c>
    </row>
    <row r="146" spans="1:8" ht="28.5">
      <c r="A146" s="285" t="s">
        <v>368</v>
      </c>
      <c r="B146" s="279" t="s">
        <v>168</v>
      </c>
      <c r="C146" s="135" t="e">
        <f aca="true" t="shared" si="25" ref="C146:H146">VLOOKUP(L_An_Depart,Table_Minimum,COLUMN(Mini_indice))</f>
        <v>#N/A</v>
      </c>
      <c r="D146" s="135" t="e">
        <f t="shared" si="25"/>
        <v>#N/A</v>
      </c>
      <c r="E146" s="135" t="e">
        <f t="shared" si="25"/>
        <v>#N/A</v>
      </c>
      <c r="F146" s="135" t="e">
        <f t="shared" si="25"/>
        <v>#N/A</v>
      </c>
      <c r="G146" s="135" t="e">
        <f t="shared" si="25"/>
        <v>#N/A</v>
      </c>
      <c r="H146" s="135" t="e">
        <f t="shared" si="25"/>
        <v>#N/A</v>
      </c>
    </row>
    <row r="147" spans="1:8" ht="12.75">
      <c r="A147" s="285" t="s">
        <v>63</v>
      </c>
      <c r="B147" s="279" t="s">
        <v>169</v>
      </c>
      <c r="C147" s="144" t="e">
        <f aca="true" t="shared" si="26" ref="C147:H147">VLOOKUP(L_An_Depart,Table_Minimum,COLUMN(Mini_points1))</f>
        <v>#N/A</v>
      </c>
      <c r="D147" s="144" t="e">
        <f t="shared" si="26"/>
        <v>#N/A</v>
      </c>
      <c r="E147" s="144" t="e">
        <f t="shared" si="26"/>
        <v>#N/A</v>
      </c>
      <c r="F147" s="144" t="e">
        <f t="shared" si="26"/>
        <v>#N/A</v>
      </c>
      <c r="G147" s="144" t="e">
        <f t="shared" si="26"/>
        <v>#N/A</v>
      </c>
      <c r="H147" s="144" t="e">
        <f t="shared" si="26"/>
        <v>#N/A</v>
      </c>
    </row>
    <row r="148" spans="1:8" ht="12.75">
      <c r="A148" s="285" t="s">
        <v>110</v>
      </c>
      <c r="B148" s="279" t="s">
        <v>170</v>
      </c>
      <c r="C148" s="135" t="e">
        <f aca="true" t="shared" si="27" ref="C148:H148">VLOOKUP(L_An_Depart,Table_Minimum,COLUMN(Mini_duree_inter))</f>
        <v>#N/A</v>
      </c>
      <c r="D148" s="135" t="e">
        <f t="shared" si="27"/>
        <v>#N/A</v>
      </c>
      <c r="E148" s="135" t="e">
        <f t="shared" si="27"/>
        <v>#N/A</v>
      </c>
      <c r="F148" s="135" t="e">
        <f t="shared" si="27"/>
        <v>#N/A</v>
      </c>
      <c r="G148" s="135" t="e">
        <f t="shared" si="27"/>
        <v>#N/A</v>
      </c>
      <c r="H148" s="135" t="e">
        <f t="shared" si="27"/>
        <v>#N/A</v>
      </c>
    </row>
    <row r="149" spans="1:8" ht="25.5">
      <c r="A149" s="331" t="s">
        <v>111</v>
      </c>
      <c r="B149" s="332" t="s">
        <v>171</v>
      </c>
      <c r="C149" s="333" t="e">
        <f aca="true" t="shared" si="28" ref="C149:H149">VLOOKUP(L_An_Depart,Table_Minimum,COLUMN(Mini_points_2))</f>
        <v>#N/A</v>
      </c>
      <c r="D149" s="333" t="e">
        <f t="shared" si="28"/>
        <v>#N/A</v>
      </c>
      <c r="E149" s="333" t="e">
        <f t="shared" si="28"/>
        <v>#N/A</v>
      </c>
      <c r="F149" s="333" t="e">
        <f t="shared" si="28"/>
        <v>#N/A</v>
      </c>
      <c r="G149" s="333" t="e">
        <f t="shared" si="28"/>
        <v>#N/A</v>
      </c>
      <c r="H149" s="333" t="e">
        <f t="shared" si="28"/>
        <v>#N/A</v>
      </c>
    </row>
    <row r="150" spans="1:8" ht="25.5">
      <c r="A150" s="285" t="s">
        <v>17</v>
      </c>
      <c r="B150" s="279" t="s">
        <v>21</v>
      </c>
      <c r="C150" s="135" t="e">
        <f aca="true" t="shared" si="29" ref="C150:H150">VLOOKUP(L_An_Depart,Table_Minimum,COLUMN(Mini_duree_bonif))</f>
        <v>#N/A</v>
      </c>
      <c r="D150" s="135" t="e">
        <f t="shared" si="29"/>
        <v>#N/A</v>
      </c>
      <c r="E150" s="135" t="e">
        <f t="shared" si="29"/>
        <v>#N/A</v>
      </c>
      <c r="F150" s="135" t="e">
        <f t="shared" si="29"/>
        <v>#N/A</v>
      </c>
      <c r="G150" s="135" t="e">
        <f t="shared" si="29"/>
        <v>#N/A</v>
      </c>
      <c r="H150" s="135" t="e">
        <f t="shared" si="29"/>
        <v>#N/A</v>
      </c>
    </row>
    <row r="151" spans="1:8" ht="12.75">
      <c r="A151" s="285" t="s">
        <v>22</v>
      </c>
      <c r="B151" s="279" t="s">
        <v>20</v>
      </c>
      <c r="C151" s="135" t="e">
        <f>MIN(4*L_mini_P_duree_bonif,Bonif_Depaysement+4*Ans_bonif_enfants)</f>
        <v>#N/A</v>
      </c>
      <c r="D151" s="135" t="e">
        <f>MIN(4*L_mini_P_duree_bonif,4*Bonif_Depaysement+Ans_bonif_enfants)</f>
        <v>#N/A</v>
      </c>
      <c r="E151" s="135" t="e">
        <f>MIN(4*L_mini_P_duree_bonif,4*Bonif_Depaysement+Ans_bonif_enfants)</f>
        <v>#N/A</v>
      </c>
      <c r="F151" s="135" t="e">
        <f>MIN(4*L_mini_P_duree_bonif,4*Bonif_Depaysement+Ans_bonif_enfants)</f>
        <v>#N/A</v>
      </c>
      <c r="G151" s="135" t="e">
        <f>MIN(4*L_mini_P_duree_bonif,4*Bonif_Depaysement+Ans_bonif_enfants)</f>
        <v>#N/A</v>
      </c>
      <c r="H151" s="135" t="e">
        <f>MIN(4*L_mini_P_duree_bonif,4*Bonif_Depaysement+Ans_bonif_enfants)</f>
        <v>#N/A</v>
      </c>
    </row>
    <row r="152" spans="1:8" ht="12.75">
      <c r="A152" s="285" t="s">
        <v>66</v>
      </c>
      <c r="B152" s="279" t="s">
        <v>172</v>
      </c>
      <c r="C152" s="334" t="e">
        <f aca="true" t="shared" si="30" ref="C152:H152">(L_Trim_services_effectifs-L_Trim_mino_TP+L_mini_duree_bonif)/4</f>
        <v>#N/A</v>
      </c>
      <c r="D152" s="334" t="e">
        <f t="shared" si="30"/>
        <v>#N/A</v>
      </c>
      <c r="E152" s="334" t="e">
        <f t="shared" si="30"/>
        <v>#N/A</v>
      </c>
      <c r="F152" s="334" t="e">
        <f t="shared" si="30"/>
        <v>#N/A</v>
      </c>
      <c r="G152" s="334" t="e">
        <f t="shared" si="30"/>
        <v>#N/A</v>
      </c>
      <c r="H152" s="334" t="e">
        <f t="shared" si="30"/>
        <v>#N/A</v>
      </c>
    </row>
    <row r="153" spans="1:8" ht="12.75">
      <c r="A153" s="239" t="e">
        <f>FIXED((INDEX(L_Trim_services_effectifs,1,3)-INDEX(L_Trim_mino_TP,1,3))/4,2)&amp;" ans de services (y.c. temps partiel)"&amp;IF(INDEX(L_mini_duree_bonif,1,3)&gt;0," + "&amp;FIXED((INDEX(L_mini_duree_bonif,1,3))/4,2)&amp;"an(s) de bonifications enfants, dépaysement...",".")</f>
        <v>#N/A</v>
      </c>
      <c r="B153" s="245"/>
      <c r="C153" s="245"/>
      <c r="D153" s="245"/>
      <c r="E153" s="245"/>
      <c r="F153" s="245"/>
      <c r="G153" s="246"/>
      <c r="H153" s="334"/>
    </row>
    <row r="154" spans="1:8" ht="12.75">
      <c r="A154" s="285" t="s">
        <v>65</v>
      </c>
      <c r="B154" s="279" t="s">
        <v>173</v>
      </c>
      <c r="C154" s="335" t="e">
        <f aca="true" t="shared" si="31" ref="C154:H154">IF(L_ans_FP&gt;=15,L_mini_15_ans+L_min_points1*(MIN(1*L_mini_duree_inter,1*L_ans_FP)-15)+L_mini_points2*MAX(0,(MIN(40,1*L_ans_FP)-L_mini_duree_inter)),0)</f>
        <v>#N/A</v>
      </c>
      <c r="D154" s="335" t="e">
        <f t="shared" si="31"/>
        <v>#N/A</v>
      </c>
      <c r="E154" s="335" t="e">
        <f t="shared" si="31"/>
        <v>#N/A</v>
      </c>
      <c r="F154" s="335" t="e">
        <f t="shared" si="31"/>
        <v>#N/A</v>
      </c>
      <c r="G154" s="335" t="e">
        <f t="shared" si="31"/>
        <v>#N/A</v>
      </c>
      <c r="H154" s="335" t="e">
        <f t="shared" si="31"/>
        <v>#N/A</v>
      </c>
    </row>
    <row r="155" spans="1:8" ht="13.5" thickBot="1">
      <c r="A155" s="336" t="s">
        <v>43</v>
      </c>
      <c r="B155" s="337" t="s">
        <v>175</v>
      </c>
      <c r="C155" s="338" t="e">
        <f aca="true" t="shared" si="32" ref="C155:H155">Valeur_Point*L_mini_indice*L_mini_prorata</f>
        <v>#N/A</v>
      </c>
      <c r="D155" s="338" t="e">
        <f t="shared" si="32"/>
        <v>#N/A</v>
      </c>
      <c r="E155" s="338" t="e">
        <f t="shared" si="32"/>
        <v>#N/A</v>
      </c>
      <c r="F155" s="338" t="e">
        <f t="shared" si="32"/>
        <v>#N/A</v>
      </c>
      <c r="G155" s="338" t="e">
        <f t="shared" si="32"/>
        <v>#N/A</v>
      </c>
      <c r="H155" s="338" t="e">
        <f t="shared" si="32"/>
        <v>#N/A</v>
      </c>
    </row>
    <row r="156" spans="1:8" ht="13.5" thickBot="1">
      <c r="A156" s="339" t="s">
        <v>249</v>
      </c>
      <c r="B156" s="204" t="s">
        <v>248</v>
      </c>
      <c r="C156" s="340" t="e">
        <f aca="true" t="shared" si="33" ref="C156:H156">IF(1*L_mini_montant&gt;1*L_P_brute_decote,"oui","-")</f>
        <v>#N/A</v>
      </c>
      <c r="D156" s="340" t="e">
        <f t="shared" si="33"/>
        <v>#N/A</v>
      </c>
      <c r="E156" s="340" t="e">
        <f t="shared" si="33"/>
        <v>#N/A</v>
      </c>
      <c r="F156" s="340" t="e">
        <f t="shared" si="33"/>
        <v>#N/A</v>
      </c>
      <c r="G156" s="340" t="e">
        <f t="shared" si="33"/>
        <v>#N/A</v>
      </c>
      <c r="H156" s="340" t="e">
        <f t="shared" si="33"/>
        <v>#N/A</v>
      </c>
    </row>
    <row r="157" spans="1:8" ht="12.75">
      <c r="A157" s="239" t="e">
        <f>IF(INDEX(L_mini_montant,1,3)&gt;INDEX(L_P_brute_decote,1,3),"Votre pension est portée au minimum ","Votre pension dépasse le minimum ")&amp;"calculé sur "&amp;A153</f>
        <v>#N/A</v>
      </c>
      <c r="B157" s="245"/>
      <c r="C157" s="245"/>
      <c r="D157" s="245"/>
      <c r="E157" s="245"/>
      <c r="F157" s="245"/>
      <c r="G157" s="246"/>
      <c r="H157" s="341"/>
    </row>
    <row r="158" spans="1:2" ht="13.5" thickBot="1">
      <c r="A158" s="239"/>
      <c r="B158" s="279"/>
    </row>
    <row r="159" spans="1:8" ht="12.75">
      <c r="A159" s="272" t="str">
        <f>texte_si_partez_en</f>
        <v>si vous partez à la retraite fin Février </v>
      </c>
      <c r="B159" s="329" t="s">
        <v>202</v>
      </c>
      <c r="C159" s="330">
        <f aca="true" t="shared" si="34" ref="C159:H159">L_An_Depart</f>
        <v>50</v>
      </c>
      <c r="D159" s="330">
        <f t="shared" si="34"/>
        <v>51</v>
      </c>
      <c r="E159" s="330">
        <f t="shared" si="34"/>
        <v>52</v>
      </c>
      <c r="F159" s="330">
        <f t="shared" si="34"/>
        <v>53</v>
      </c>
      <c r="G159" s="330">
        <f t="shared" si="34"/>
        <v>54</v>
      </c>
      <c r="H159" s="330">
        <f t="shared" si="34"/>
        <v>55</v>
      </c>
    </row>
    <row r="160" spans="1:8" ht="12.75">
      <c r="A160" s="317" t="s">
        <v>243</v>
      </c>
      <c r="B160" s="112"/>
      <c r="C160" s="287"/>
      <c r="D160" s="287"/>
      <c r="E160" s="287"/>
      <c r="F160" s="287"/>
      <c r="G160" s="287"/>
      <c r="H160" s="287"/>
    </row>
    <row r="161" spans="1:8" ht="12.75">
      <c r="A161" s="342" t="s">
        <v>201</v>
      </c>
      <c r="B161" s="279" t="s">
        <v>174</v>
      </c>
      <c r="C161" s="234" t="e">
        <f aca="true" t="shared" si="35" ref="C161:H161">MIN(Traitement_reference,(1+Taux_Maj_3E)*MAX(1*L_P_brute_decote,1*L_mini_montant))</f>
        <v>#N/A</v>
      </c>
      <c r="D161" s="234" t="e">
        <f t="shared" si="35"/>
        <v>#N/A</v>
      </c>
      <c r="E161" s="234" t="e">
        <f t="shared" si="35"/>
        <v>#N/A</v>
      </c>
      <c r="F161" s="234" t="e">
        <f t="shared" si="35"/>
        <v>#N/A</v>
      </c>
      <c r="G161" s="234" t="e">
        <f t="shared" si="35"/>
        <v>#N/A</v>
      </c>
      <c r="H161" s="234" t="e">
        <f t="shared" si="35"/>
        <v>#N/A</v>
      </c>
    </row>
    <row r="162" spans="1:8" ht="12.75">
      <c r="A162" s="343" t="s">
        <v>1</v>
      </c>
      <c r="B162" s="276" t="s">
        <v>176</v>
      </c>
      <c r="C162" s="344" t="e">
        <f aca="true" t="shared" si="36" ref="C162:H162">L_P_brute_mini/Traitement_reference</f>
        <v>#N/A</v>
      </c>
      <c r="D162" s="344" t="e">
        <f t="shared" si="36"/>
        <v>#N/A</v>
      </c>
      <c r="E162" s="344" t="e">
        <f t="shared" si="36"/>
        <v>#N/A</v>
      </c>
      <c r="F162" s="344" t="e">
        <f t="shared" si="36"/>
        <v>#N/A</v>
      </c>
      <c r="G162" s="344" t="e">
        <f t="shared" si="36"/>
        <v>#N/A</v>
      </c>
      <c r="H162" s="344" t="e">
        <f t="shared" si="36"/>
        <v>#N/A</v>
      </c>
    </row>
    <row r="163" spans="1:8" ht="12.75">
      <c r="A163" s="323"/>
      <c r="B163" s="279" t="s">
        <v>326</v>
      </c>
      <c r="C163" s="345" t="e">
        <f>MAX(C162:H162)</f>
        <v>#N/A</v>
      </c>
      <c r="D163" s="345"/>
      <c r="E163" s="345"/>
      <c r="F163" s="345"/>
      <c r="G163" s="345"/>
      <c r="H163" s="345"/>
    </row>
    <row r="164" spans="1:8" ht="12.75">
      <c r="A164" s="342" t="s">
        <v>94</v>
      </c>
      <c r="B164" s="279" t="s">
        <v>177</v>
      </c>
      <c r="C164" s="235" t="e">
        <f aca="true" t="shared" si="37" ref="C164:H164">C_Cot_Retraite*L_P_brute_mini</f>
        <v>#N/A</v>
      </c>
      <c r="D164" s="235" t="e">
        <f t="shared" si="37"/>
        <v>#N/A</v>
      </c>
      <c r="E164" s="235" t="e">
        <f t="shared" si="37"/>
        <v>#N/A</v>
      </c>
      <c r="F164" s="235" t="e">
        <f t="shared" si="37"/>
        <v>#N/A</v>
      </c>
      <c r="G164" s="235" t="e">
        <f t="shared" si="37"/>
        <v>#N/A</v>
      </c>
      <c r="H164" s="235" t="e">
        <f t="shared" si="37"/>
        <v>#N/A</v>
      </c>
    </row>
    <row r="165" spans="1:8" ht="13.5" thickBot="1">
      <c r="A165" s="346" t="s">
        <v>212</v>
      </c>
      <c r="B165" s="337" t="s">
        <v>213</v>
      </c>
      <c r="C165" s="347" t="e">
        <f aca="true" t="shared" si="38" ref="C165:H165">L_P_nette/12</f>
        <v>#N/A</v>
      </c>
      <c r="D165" s="347" t="e">
        <f t="shared" si="38"/>
        <v>#N/A</v>
      </c>
      <c r="E165" s="347" t="e">
        <f t="shared" si="38"/>
        <v>#N/A</v>
      </c>
      <c r="F165" s="347" t="e">
        <f t="shared" si="38"/>
        <v>#N/A</v>
      </c>
      <c r="G165" s="347" t="e">
        <f t="shared" si="38"/>
        <v>#N/A</v>
      </c>
      <c r="H165" s="347" t="e">
        <f t="shared" si="38"/>
        <v>#N/A</v>
      </c>
    </row>
    <row r="166" ht="12.75"/>
    <row r="167" ht="12.75">
      <c r="C167" s="112" t="s">
        <v>239</v>
      </c>
    </row>
    <row r="168" ht="12.75"/>
    <row r="169" spans="1:4" ht="12.75">
      <c r="A169" s="244" t="s">
        <v>301</v>
      </c>
      <c r="B169" s="137" t="s">
        <v>302</v>
      </c>
      <c r="C169" s="112">
        <f>IF(Service_actif_FPH,"Pour les aides soignantes, les primes sont susceptible d'être prises en compte pour partie dans le traitement indiciaire, entraînant une majoration des pensions estimées ci_dessus. ","")</f>
      </c>
      <c r="D169" s="112" t="s">
        <v>321</v>
      </c>
    </row>
    <row r="170" spans="1:4" ht="12.75">
      <c r="A170" s="135" t="s">
        <v>28</v>
      </c>
      <c r="B170" s="137"/>
      <c r="D170" s="112" t="s">
        <v>95</v>
      </c>
    </row>
    <row r="171" spans="1:4" ht="12.75">
      <c r="A171" s="112" t="s">
        <v>26</v>
      </c>
      <c r="B171" s="207" t="s">
        <v>27</v>
      </c>
      <c r="C171" s="112">
        <f>IF(AND((Limite_Age-Age_Ouverture_Droit)&gt;5,(Primes_aides_soignantes="")),"Le tableau de résultats ne va pas juqu'à la limite d'âge ("&amp;FIXED(Limite_Age,0)&amp;" ans). ","")</f>
      </c>
      <c r="D171" s="112" t="s">
        <v>322</v>
      </c>
    </row>
    <row r="172" ht="12.75">
      <c r="D172" s="112" t="s">
        <v>95</v>
      </c>
    </row>
    <row r="173" spans="1:4" ht="12.75">
      <c r="A173" s="244" t="s">
        <v>237</v>
      </c>
      <c r="B173" s="207" t="s">
        <v>238</v>
      </c>
      <c r="C173" s="112" t="e">
        <f>IF(AND(H108&lt;Nbre_Trim_Max,((Primes_aides_soignantes&amp;Grande_plage_age)="")),"Si vous le souhaitez, pour vous permettre d'approcher le taux plein de liquidation, vous pourrez prolonger votre activité  au delà de l'âge limite dans la limite de 10 trimestres.","")</f>
        <v>#N/A</v>
      </c>
      <c r="D173" s="112" t="s">
        <v>323</v>
      </c>
    </row>
    <row r="174" spans="1:4" ht="12.75">
      <c r="A174" s="244"/>
      <c r="D174" s="112" t="s">
        <v>95</v>
      </c>
    </row>
    <row r="175" spans="1:3" ht="12.75">
      <c r="A175" s="348" t="s">
        <v>0</v>
      </c>
      <c r="B175" s="349"/>
      <c r="C175" s="350" t="e">
        <f>IF(Max_Taux_primaire&gt;75%,"Le taux de liquidation peut dépasser 75 % du fait des bonifications.","")</f>
        <v>#N/A</v>
      </c>
    </row>
    <row r="176" spans="1:3" ht="12.75">
      <c r="A176" s="351" t="s">
        <v>2</v>
      </c>
      <c r="B176" s="135"/>
      <c r="C176" s="219" t="e">
        <f>IF(Rang_an_surcote&gt;0," Votre pension peut être majorée (surcote) à partir de "&amp;FIXED(INDEX(L_An_Depart,1,2+Rang_an_surcote),0)&amp;".","")</f>
        <v>#N/A</v>
      </c>
    </row>
    <row r="177" spans="1:3" ht="12.75">
      <c r="A177" s="351" t="s">
        <v>3</v>
      </c>
      <c r="B177" s="135"/>
      <c r="C177" s="219" t="e">
        <f>IF(INDEX(L_mini_montant,1,3)&gt;INDEX(L_P_brute_decote,1,3)," Votre pension est portée au minimum.","")</f>
        <v>#N/A</v>
      </c>
    </row>
    <row r="178" spans="1:3" ht="12.75">
      <c r="A178" s="351" t="s">
        <v>320</v>
      </c>
      <c r="B178" s="135"/>
      <c r="C178" s="219">
        <f>IF(Taux_Maj_3E&gt;0," Vos "&amp;FIXED(Nbre_Enfants,0)&amp;" enfants entraînent une majoration de votre pension de "&amp;TEXT(Taux_Maj_3E,"0%")&amp;". ","")</f>
      </c>
    </row>
    <row r="179" spans="1:2" ht="12.75">
      <c r="A179" s="352" t="s">
        <v>4</v>
      </c>
      <c r="B179" s="112"/>
    </row>
    <row r="180" ht="13.5" thickBot="1">
      <c r="B180" s="112"/>
    </row>
    <row r="181" spans="1:7" ht="16.5" thickBot="1">
      <c r="A181" s="452" t="s">
        <v>141</v>
      </c>
      <c r="B181" s="453"/>
      <c r="C181" s="453"/>
      <c r="D181" s="453"/>
      <c r="E181" s="453"/>
      <c r="F181" s="453"/>
      <c r="G181" s="454"/>
    </row>
    <row r="182" spans="1:7" ht="15.75">
      <c r="A182" s="253"/>
      <c r="B182" s="137"/>
      <c r="C182" s="263"/>
      <c r="D182" s="353"/>
      <c r="E182" s="353"/>
      <c r="F182" s="353"/>
      <c r="G182" s="353"/>
    </row>
    <row r="183" ht="13.5" thickBot="1"/>
    <row r="184" spans="1:8" ht="12.75">
      <c r="A184" s="186"/>
      <c r="B184" s="185" t="s">
        <v>136</v>
      </c>
      <c r="C184" s="186" t="b">
        <f>OR(An_Min_OD&lt;2004,An_Min_OD&gt;Borne_Date_Simulateur)</f>
        <v>1</v>
      </c>
      <c r="D184" s="186" t="s">
        <v>223</v>
      </c>
      <c r="E184" s="186"/>
      <c r="F184" s="186"/>
      <c r="G184" s="186"/>
      <c r="H184" s="195"/>
    </row>
    <row r="185" spans="1:8" ht="12.75">
      <c r="A185" s="135"/>
      <c r="B185" s="142" t="s">
        <v>178</v>
      </c>
      <c r="C185" s="135" t="str">
        <f>IF(Erreur_date_depart,IF(An_Min_OD&lt;2004,"Les règles sont inchangées quand l'age minimum de départ est atteint avant 2004","Le calculateur ne dépasse pas "&amp;FIXED(Borne_Date_Simulateur,0)&amp;", il ne peut traiter "&amp;FIXED(Age_Ouverture_Droit,0)&amp;" ans en "&amp;FIXED(An_Min_OD,0)),"")</f>
        <v>Les règles sont inchangées quand l'age minimum de départ est atteint avant 2004</v>
      </c>
      <c r="D185" s="135"/>
      <c r="E185" s="135"/>
      <c r="F185" s="135"/>
      <c r="G185" s="135"/>
      <c r="H185" s="197"/>
    </row>
    <row r="186" spans="1:8" ht="12.75">
      <c r="A186" s="354"/>
      <c r="B186" s="142" t="s">
        <v>254</v>
      </c>
      <c r="C186" s="112" t="b">
        <f>INDEX(L_Trim_services_effectifs,1,3)&lt;60</f>
        <v>1</v>
      </c>
      <c r="D186" s="135" t="s">
        <v>316</v>
      </c>
      <c r="E186" s="135"/>
      <c r="F186" s="135"/>
      <c r="G186" s="135"/>
      <c r="H186" s="197"/>
    </row>
    <row r="187" spans="1:8" ht="12.75">
      <c r="A187" s="135"/>
      <c r="B187" s="355" t="s">
        <v>253</v>
      </c>
      <c r="C187" s="354" t="str">
        <f>IF(Erreur_moins15ans,"Les courtes durées dans la fonction publique (&lt;15 ans) ne sont pas traitées","")</f>
        <v>Les courtes durées dans la fonction publique (&lt;15 ans) ne sont pas traitées</v>
      </c>
      <c r="D187" s="354" t="s">
        <v>6</v>
      </c>
      <c r="E187" s="354"/>
      <c r="F187" s="354"/>
      <c r="G187" s="354"/>
      <c r="H187" s="356"/>
    </row>
    <row r="188" spans="1:8" ht="13.5" thickBot="1">
      <c r="A188" s="192"/>
      <c r="B188" s="117" t="s">
        <v>137</v>
      </c>
      <c r="C188" s="192" t="b">
        <f>OR(Erreur_date_depart,Erreur_moins15ans)</f>
        <v>1</v>
      </c>
      <c r="D188" s="192" t="s">
        <v>255</v>
      </c>
      <c r="E188" s="192"/>
      <c r="F188" s="192"/>
      <c r="G188" s="192"/>
      <c r="H188" s="199"/>
    </row>
    <row r="189" ht="12.75"/>
    <row r="190" spans="1:3" ht="13.5" thickBot="1">
      <c r="A190" s="200" t="s">
        <v>139</v>
      </c>
      <c r="C190" s="112" t="s">
        <v>140</v>
      </c>
    </row>
    <row r="191" spans="1:8" ht="13.5" thickTop="1">
      <c r="A191" s="357" t="str">
        <f>texte_si_partez_en</f>
        <v>si vous partez à la retraite fin Février </v>
      </c>
      <c r="B191" s="358"/>
      <c r="C191" s="359" t="str">
        <f aca="true" t="shared" si="39" ref="C191:H191">IF(Existe_erreur,"nd",L_An_Depart)</f>
        <v>nd</v>
      </c>
      <c r="D191" s="360" t="str">
        <f t="shared" si="39"/>
        <v>nd</v>
      </c>
      <c r="E191" s="360" t="str">
        <f t="shared" si="39"/>
        <v>nd</v>
      </c>
      <c r="F191" s="360" t="str">
        <f t="shared" si="39"/>
        <v>nd</v>
      </c>
      <c r="G191" s="360" t="str">
        <f t="shared" si="39"/>
        <v>nd</v>
      </c>
      <c r="H191" s="361" t="str">
        <f t="shared" si="39"/>
        <v>nd</v>
      </c>
    </row>
    <row r="192" spans="1:8" ht="25.5">
      <c r="A192" s="362" t="s">
        <v>100</v>
      </c>
      <c r="B192" s="363"/>
      <c r="C192" s="364" t="str">
        <f aca="true" t="shared" si="40" ref="C192:H192">IF(Existe_erreur,"nd",L_taux_liquidation)</f>
        <v>nd</v>
      </c>
      <c r="D192" s="256" t="str">
        <f t="shared" si="40"/>
        <v>nd</v>
      </c>
      <c r="E192" s="256" t="str">
        <f t="shared" si="40"/>
        <v>nd</v>
      </c>
      <c r="F192" s="256" t="str">
        <f t="shared" si="40"/>
        <v>nd</v>
      </c>
      <c r="G192" s="256" t="str">
        <f t="shared" si="40"/>
        <v>nd</v>
      </c>
      <c r="H192" s="365" t="str">
        <f t="shared" si="40"/>
        <v>nd</v>
      </c>
    </row>
    <row r="193" spans="1:8" ht="26.25" thickBot="1">
      <c r="A193" s="366" t="s">
        <v>214</v>
      </c>
      <c r="B193" s="367"/>
      <c r="C193" s="368" t="str">
        <f aca="true" t="shared" si="41" ref="C193:H193">IF(Existe_erreur,"nd",Pension_nette_mensuelle)</f>
        <v>nd</v>
      </c>
      <c r="D193" s="369" t="str">
        <f t="shared" si="41"/>
        <v>nd</v>
      </c>
      <c r="E193" s="369" t="str">
        <f t="shared" si="41"/>
        <v>nd</v>
      </c>
      <c r="F193" s="369" t="str">
        <f t="shared" si="41"/>
        <v>nd</v>
      </c>
      <c r="G193" s="369" t="str">
        <f t="shared" si="41"/>
        <v>nd</v>
      </c>
      <c r="H193" s="370" t="str">
        <f t="shared" si="41"/>
        <v>nd</v>
      </c>
    </row>
    <row r="194" spans="1:8" ht="27" thickBot="1" thickTop="1">
      <c r="A194" s="357" t="s">
        <v>250</v>
      </c>
      <c r="B194" s="358"/>
      <c r="C194" s="371" t="str">
        <f aca="true" t="shared" si="42" ref="C194:H194">IF(Existe_erreur,"nd",L_incidence_decote)</f>
        <v>nd</v>
      </c>
      <c r="D194" s="372" t="str">
        <f t="shared" si="42"/>
        <v>nd</v>
      </c>
      <c r="E194" s="372" t="str">
        <f t="shared" si="42"/>
        <v>nd</v>
      </c>
      <c r="F194" s="372" t="str">
        <f t="shared" si="42"/>
        <v>nd</v>
      </c>
      <c r="G194" s="372" t="str">
        <f t="shared" si="42"/>
        <v>nd</v>
      </c>
      <c r="H194" s="372" t="str">
        <f t="shared" si="42"/>
        <v>nd</v>
      </c>
    </row>
    <row r="195" spans="1:8" ht="12.75">
      <c r="A195" s="357" t="s">
        <v>251</v>
      </c>
      <c r="B195" s="363"/>
      <c r="C195" s="373" t="str">
        <f aca="true" t="shared" si="43" ref="C195:H195">IF(Existe_erreur,"nd",L_incidence_surcote)</f>
        <v>nd</v>
      </c>
      <c r="D195" s="286" t="str">
        <f t="shared" si="43"/>
        <v>nd</v>
      </c>
      <c r="E195" s="286" t="str">
        <f t="shared" si="43"/>
        <v>nd</v>
      </c>
      <c r="F195" s="286" t="str">
        <f t="shared" si="43"/>
        <v>nd</v>
      </c>
      <c r="G195" s="286" t="str">
        <f t="shared" si="43"/>
        <v>nd</v>
      </c>
      <c r="H195" s="286" t="str">
        <f t="shared" si="43"/>
        <v>nd</v>
      </c>
    </row>
    <row r="196" spans="1:8" ht="13.5" thickBot="1">
      <c r="A196" s="366" t="s">
        <v>252</v>
      </c>
      <c r="B196" s="367"/>
      <c r="C196" s="368" t="str">
        <f aca="true" t="shared" si="44" ref="C196:H196">IF(Existe_erreur,"nd",L_intervention_mini)</f>
        <v>nd</v>
      </c>
      <c r="D196" s="369" t="str">
        <f t="shared" si="44"/>
        <v>nd</v>
      </c>
      <c r="E196" s="369" t="str">
        <f t="shared" si="44"/>
        <v>nd</v>
      </c>
      <c r="F196" s="369" t="str">
        <f t="shared" si="44"/>
        <v>nd</v>
      </c>
      <c r="G196" s="369" t="str">
        <f t="shared" si="44"/>
        <v>nd</v>
      </c>
      <c r="H196" s="369" t="str">
        <f t="shared" si="44"/>
        <v>nd</v>
      </c>
    </row>
    <row r="197" ht="12.75"/>
    <row r="198" spans="1:8" ht="12.75" customHeight="1">
      <c r="A198" s="244" t="s">
        <v>15</v>
      </c>
      <c r="B198" s="207" t="s">
        <v>303</v>
      </c>
      <c r="C198" s="374" t="str">
        <f>IF(Existe_erreur,IF(Message_saisie_manquante="",Texte_E_date_depart&amp;Texte_E_Moins15ans,"SVP renseignez toutes les cases ou éléments sur fond blanc"),Depasse_age_limite&amp;Grande_plage_age&amp;Primes_aides_soignantes)</f>
        <v>SVP renseignez toutes les cases ou éléments sur fond blanc</v>
      </c>
      <c r="D198" s="375"/>
      <c r="E198" s="375"/>
      <c r="F198" s="375"/>
      <c r="G198" s="375"/>
      <c r="H198" s="375"/>
    </row>
    <row r="199" spans="1:3" ht="12.75">
      <c r="A199" s="244" t="s">
        <v>327</v>
      </c>
      <c r="B199" s="376" t="s">
        <v>5</v>
      </c>
      <c r="C199" s="377">
        <f>IF(Existe_erreur,"",IF(Max_Taux_apparent&gt;75%,C175&amp;C176&amp;C177&amp;C178,""))</f>
      </c>
    </row>
    <row r="200" spans="1:3" ht="12.75">
      <c r="A200" s="244"/>
      <c r="C200" s="234"/>
    </row>
    <row r="201" spans="1:3" ht="12.75">
      <c r="A201" s="200" t="s">
        <v>25</v>
      </c>
      <c r="C201" s="234"/>
    </row>
    <row r="202" spans="1:3" ht="13.5" thickBot="1">
      <c r="A202" s="244"/>
      <c r="C202" s="234"/>
    </row>
    <row r="203" spans="1:6" ht="13.5" thickBot="1">
      <c r="A203" s="449" t="str">
        <f>"Eléments de calcul pour un départ à "&amp;FIXED(Age_Ouverture_Droit,0)&amp;" ans"</f>
        <v>Eléments de calcul pour un départ à 50 ans</v>
      </c>
      <c r="B203" s="450"/>
      <c r="C203" s="450"/>
      <c r="D203" s="450"/>
      <c r="E203" s="450"/>
      <c r="F203" s="451"/>
    </row>
    <row r="204" spans="1:2" ht="12.75">
      <c r="A204" s="112" t="str">
        <f>A52</f>
        <v>Vous atteindrez l'âge minimum d'ouverture de droit (50ans) en Février 50</v>
      </c>
      <c r="B204" s="112"/>
    </row>
    <row r="205" spans="1:6" ht="12.75">
      <c r="A205" s="378" t="s">
        <v>295</v>
      </c>
      <c r="B205" s="379"/>
      <c r="C205" s="379"/>
      <c r="D205" s="379"/>
      <c r="E205" s="379"/>
      <c r="F205" s="380"/>
    </row>
    <row r="206" spans="1:2" ht="12.75">
      <c r="A206" s="112" t="str">
        <f>A35</f>
        <v>Vous avez déclaré avoir effectué 0,00 ans dans la fonction publique au 1/1/2004 soit 0,00 trimestres.</v>
      </c>
      <c r="B206" s="112"/>
    </row>
    <row r="207" spans="1:4" ht="12.75">
      <c r="A207" s="112" t="str">
        <f>A102</f>
        <v>Fin Février 50, la durée écoulée depuis le  1/1/2004 sera de -7 815,3 trimestres soit -1 953,83 ans.</v>
      </c>
      <c r="B207" s="381"/>
      <c r="C207" s="234"/>
      <c r="D207" s="382"/>
    </row>
    <row r="208" spans="1:5" ht="12.75">
      <c r="A208" s="112" t="str">
        <f>A104</f>
        <v>Votre durée de services effectifs sera alors de -7 815 trimestres ou -1 953,75 ans (arrondi au trimestre)</v>
      </c>
      <c r="B208" s="112"/>
      <c r="E208" s="383"/>
    </row>
    <row r="209" spans="1:6" ht="12.75">
      <c r="A209" s="378" t="s">
        <v>294</v>
      </c>
      <c r="B209" s="379"/>
      <c r="C209" s="379"/>
      <c r="D209" s="379"/>
      <c r="E209" s="379"/>
      <c r="F209" s="380"/>
    </row>
    <row r="210" spans="1:2" ht="12.75">
      <c r="A210" s="384" t="str">
        <f>A78</f>
        <v>Pas de temps partiel,</v>
      </c>
      <c r="B210" s="112"/>
    </row>
    <row r="211" spans="1:2" ht="12.75">
      <c r="A211" s="384" t="str">
        <f>A82</f>
        <v>Bonifications du 1/5ème :  sans objet. </v>
      </c>
      <c r="B211" s="112"/>
    </row>
    <row r="212" spans="1:2" ht="12.75">
      <c r="A212" s="384" t="str">
        <f>A107</f>
        <v>Bonifications du 1/5ème (suite) : sans objet.</v>
      </c>
      <c r="B212" s="112"/>
    </row>
    <row r="213" spans="1:2" ht="12.75">
      <c r="A213" s="112" t="e">
        <f>A109</f>
        <v>#N/A</v>
      </c>
      <c r="B213" s="112"/>
    </row>
    <row r="214" spans="1:2" ht="12.75">
      <c r="A214" s="384" t="str">
        <f>A85</f>
        <v>Autres bonifications : sans objet.</v>
      </c>
      <c r="B214" s="112"/>
    </row>
    <row r="215" spans="1:2" ht="12.75">
      <c r="A215" s="384" t="str">
        <f>A87</f>
        <v>Bonifications enfants : sans objet.</v>
      </c>
      <c r="B215" s="112"/>
    </row>
    <row r="216" spans="1:2" ht="12.75">
      <c r="A216" s="384" t="e">
        <f>A113</f>
        <v>#N/A</v>
      </c>
      <c r="B216" s="112"/>
    </row>
    <row r="217" spans="1:2" ht="12.75">
      <c r="A217" s="384" t="e">
        <f>A115</f>
        <v>#N/A</v>
      </c>
      <c r="B217" s="112"/>
    </row>
    <row r="218" spans="1:6" ht="12.75">
      <c r="A218" s="385" t="s">
        <v>284</v>
      </c>
      <c r="B218" s="386"/>
      <c r="C218" s="386"/>
      <c r="D218" s="386"/>
      <c r="E218" s="386"/>
      <c r="F218" s="387"/>
    </row>
    <row r="219" spans="1:2" ht="12.75">
      <c r="A219" s="384" t="str">
        <f>A117</f>
        <v>La durée utilisée pour le calcul de la décote comprend : -7 815 trimestres de services effectifs,</v>
      </c>
      <c r="B219" s="112"/>
    </row>
    <row r="220" spans="1:2" ht="12.75">
      <c r="A220" s="384" t="str">
        <f>A119</f>
        <v>Hospitaliers en service actif : sans objet. </v>
      </c>
      <c r="B220" s="112"/>
    </row>
    <row r="221" spans="1:2" ht="12.75">
      <c r="A221" s="384" t="str">
        <f>A120</f>
        <v>On ajoute :   pas de  trimestres autres régimes.</v>
      </c>
      <c r="B221" s="112"/>
    </row>
    <row r="222" spans="1:2" ht="12.75">
      <c r="A222" s="384" t="str">
        <f>A38</f>
        <v>Remarque : 0,00 ans de fonction publique et aucune activité autre régime correspondent à un début d'activité à 2 003,94 ans, </v>
      </c>
      <c r="B222" s="112"/>
    </row>
    <row r="223" spans="1:2" ht="12.75">
      <c r="A223" s="384" t="str">
        <f>A122</f>
        <v>Soit une durée totale de -9 378 trimestres ou -2 344,50 ans.</v>
      </c>
      <c r="B223" s="112"/>
    </row>
    <row r="224" spans="1:2" ht="12.75">
      <c r="A224" s="384" t="e">
        <f>A125</f>
        <v>#N/A</v>
      </c>
      <c r="B224" s="112"/>
    </row>
    <row r="225" spans="1:2" ht="12.75">
      <c r="A225" s="384" t="e">
        <f>A127</f>
        <v>#N/A</v>
      </c>
      <c r="B225" s="112"/>
    </row>
    <row r="226" spans="1:2" ht="12.75">
      <c r="A226" s="384" t="e">
        <f>A130</f>
        <v>#N/A</v>
      </c>
      <c r="B226" s="112"/>
    </row>
    <row r="227" spans="1:6" ht="12.75">
      <c r="A227" s="388" t="e">
        <f>A140</f>
        <v>#N/A</v>
      </c>
      <c r="B227" s="349"/>
      <c r="C227" s="349"/>
      <c r="D227" s="349"/>
      <c r="E227" s="349"/>
      <c r="F227" s="350"/>
    </row>
    <row r="228" spans="1:6" ht="12.75">
      <c r="A228" s="389" t="e">
        <f>A157</f>
        <v>#N/A</v>
      </c>
      <c r="B228" s="135"/>
      <c r="C228" s="135"/>
      <c r="D228" s="135"/>
      <c r="E228" s="135"/>
      <c r="F228" s="219"/>
    </row>
    <row r="229" spans="1:6" ht="12.75">
      <c r="A229" s="390" t="str">
        <f>A94</f>
        <v>Majoration pour 3 enfants ou plus : sans objet.</v>
      </c>
      <c r="B229" s="354"/>
      <c r="C229" s="354"/>
      <c r="D229" s="354"/>
      <c r="E229" s="354"/>
      <c r="F229" s="377"/>
    </row>
    <row r="230" ht="12.75">
      <c r="B230" s="112"/>
    </row>
    <row r="231" ht="12.75">
      <c r="B231" s="112"/>
    </row>
    <row r="232" ht="12.75">
      <c r="B232" s="112"/>
    </row>
    <row r="233" ht="12.75">
      <c r="B233" s="112"/>
    </row>
    <row r="234" ht="12.75">
      <c r="B234" s="112"/>
    </row>
    <row r="235" ht="12.75">
      <c r="B235" s="112"/>
    </row>
    <row r="236" ht="12.75">
      <c r="B236" s="112"/>
    </row>
    <row r="237" ht="12.75"/>
    <row r="238" ht="12.75"/>
    <row r="239" ht="12.75"/>
    <row r="240" ht="12.75"/>
    <row r="241" ht="12.75"/>
    <row r="242" ht="12.75"/>
    <row r="243" ht="12.75"/>
    <row r="244" ht="12.75"/>
  </sheetData>
  <sheetProtection password="DFC5" sheet="1" objects="1" scenarios="1"/>
  <mergeCells count="5">
    <mergeCell ref="A203:F203"/>
    <mergeCell ref="A12:G12"/>
    <mergeCell ref="A181:G181"/>
    <mergeCell ref="A98:H98"/>
    <mergeCell ref="A33:G33"/>
  </mergeCells>
  <printOptions horizontalCentered="1" verticalCentered="1"/>
  <pageMargins left="0.23" right="0.1968503937007874" top="0.22" bottom="0.38" header="0.17" footer="0.24"/>
  <pageSetup horizontalDpi="600" verticalDpi="600" orientation="landscape" paperSize="9" scale="90" r:id="rId3"/>
  <headerFooter alignWithMargins="0">
    <oddFooter>&amp;R&amp;"Arial"&amp;8COR  FL &amp;F &amp;A &amp;D</oddFooter>
  </headerFooter>
  <rowBreaks count="1" manualBreakCount="1">
    <brk id="98" max="255" man="1"/>
  </rowBreaks>
  <legacyDrawing r:id="rId2"/>
</worksheet>
</file>

<file path=xl/worksheets/sheet5.xml><?xml version="1.0" encoding="utf-8"?>
<worksheet xmlns="http://schemas.openxmlformats.org/spreadsheetml/2006/main" xmlns:r="http://schemas.openxmlformats.org/officeDocument/2006/relationships">
  <dimension ref="A2:G98"/>
  <sheetViews>
    <sheetView zoomScalePageLayoutView="0" workbookViewId="0" topLeftCell="A1">
      <selection activeCell="C7" sqref="C7"/>
    </sheetView>
  </sheetViews>
  <sheetFormatPr defaultColWidth="11.421875" defaultRowHeight="12.75"/>
  <cols>
    <col min="1" max="1" width="15.28125" style="112" customWidth="1"/>
    <col min="2" max="2" width="19.8515625" style="112" customWidth="1"/>
    <col min="3" max="3" width="21.8515625" style="112" customWidth="1"/>
    <col min="4" max="4" width="18.57421875" style="112" customWidth="1"/>
    <col min="5" max="5" width="18.57421875" style="113" customWidth="1"/>
    <col min="6" max="6" width="19.8515625" style="112" customWidth="1"/>
    <col min="7" max="7" width="15.8515625" style="112" customWidth="1"/>
    <col min="8" max="16384" width="11.421875" style="112" customWidth="1"/>
  </cols>
  <sheetData>
    <row r="1" ht="30" customHeight="1" thickBot="1"/>
    <row r="2" spans="1:3" ht="12.75">
      <c r="A2" s="114"/>
      <c r="B2" s="115"/>
      <c r="C2" s="116"/>
    </row>
    <row r="3" spans="1:5" ht="13.5" thickBot="1">
      <c r="A3" s="117"/>
      <c r="B3" s="118" t="s">
        <v>179</v>
      </c>
      <c r="C3" s="119">
        <v>52.4933</v>
      </c>
      <c r="E3" s="112"/>
    </row>
    <row r="4" spans="1:5" ht="12.75">
      <c r="A4" s="120" t="s">
        <v>208</v>
      </c>
      <c r="B4" s="121"/>
      <c r="C4" s="121"/>
      <c r="D4" s="122" t="s">
        <v>207</v>
      </c>
      <c r="E4" s="112"/>
    </row>
    <row r="5" spans="1:5" ht="12.75">
      <c r="A5" s="123" t="s">
        <v>209</v>
      </c>
      <c r="B5" s="124" t="s">
        <v>205</v>
      </c>
      <c r="C5" s="125">
        <f>1-D5</f>
        <v>0.8363</v>
      </c>
      <c r="D5" s="126">
        <v>0.16369999999999996</v>
      </c>
      <c r="E5" s="112"/>
    </row>
    <row r="6" spans="1:5" ht="12.75">
      <c r="A6" s="123" t="s">
        <v>210</v>
      </c>
      <c r="B6" s="124" t="s">
        <v>206</v>
      </c>
      <c r="C6" s="125">
        <f>1-D6</f>
        <v>0.933</v>
      </c>
      <c r="D6" s="126">
        <v>0.067</v>
      </c>
      <c r="E6" s="112"/>
    </row>
    <row r="7" spans="1:5" ht="13.5" thickBot="1">
      <c r="A7" s="127"/>
      <c r="B7" s="128"/>
      <c r="C7" s="129"/>
      <c r="D7" s="130"/>
      <c r="E7" s="111"/>
    </row>
    <row r="8" spans="1:6" ht="13.5" thickBot="1">
      <c r="A8" s="131" t="s">
        <v>309</v>
      </c>
      <c r="B8" s="132" t="s">
        <v>308</v>
      </c>
      <c r="C8" s="133">
        <v>20</v>
      </c>
      <c r="D8" s="134"/>
      <c r="E8" s="111"/>
      <c r="F8" s="135"/>
    </row>
    <row r="9" spans="1:6" ht="12.75">
      <c r="A9" s="136"/>
      <c r="B9" s="137"/>
      <c r="C9" s="125"/>
      <c r="D9" s="134"/>
      <c r="E9" s="111"/>
      <c r="F9" s="135"/>
    </row>
    <row r="10" spans="1:6" ht="12.75">
      <c r="A10" s="138"/>
      <c r="B10" s="137"/>
      <c r="C10" s="125"/>
      <c r="D10" s="134"/>
      <c r="E10" s="111"/>
      <c r="F10" s="135"/>
    </row>
    <row r="11" spans="1:6" ht="12.75">
      <c r="A11" s="138"/>
      <c r="B11" s="137"/>
      <c r="C11" s="125"/>
      <c r="D11" s="134"/>
      <c r="E11" s="111"/>
      <c r="F11" s="135"/>
    </row>
    <row r="13" ht="13.5" thickBot="1">
      <c r="A13" s="112" t="s">
        <v>142</v>
      </c>
    </row>
    <row r="14" spans="1:5" ht="25.5">
      <c r="A14" s="139" t="s">
        <v>40</v>
      </c>
      <c r="B14" s="140" t="s">
        <v>42</v>
      </c>
      <c r="C14" s="140" t="s">
        <v>35</v>
      </c>
      <c r="D14" s="140" t="s">
        <v>36</v>
      </c>
      <c r="E14" s="141" t="s">
        <v>304</v>
      </c>
    </row>
    <row r="15" spans="1:5" ht="12.75">
      <c r="A15" s="142">
        <v>2004</v>
      </c>
      <c r="B15" s="143">
        <v>38</v>
      </c>
      <c r="C15" s="143">
        <v>0</v>
      </c>
      <c r="D15" s="144">
        <v>0</v>
      </c>
      <c r="E15" s="145">
        <v>0</v>
      </c>
    </row>
    <row r="16" spans="1:5" ht="12.75">
      <c r="A16" s="142">
        <v>2005</v>
      </c>
      <c r="B16" s="143">
        <v>38.5</v>
      </c>
      <c r="C16" s="143">
        <v>0</v>
      </c>
      <c r="D16" s="144">
        <v>0</v>
      </c>
      <c r="E16" s="145">
        <v>0</v>
      </c>
    </row>
    <row r="17" spans="1:5" ht="12.75">
      <c r="A17" s="142">
        <v>2006</v>
      </c>
      <c r="B17" s="143">
        <v>39</v>
      </c>
      <c r="C17" s="143">
        <v>1</v>
      </c>
      <c r="D17" s="144">
        <v>0.005</v>
      </c>
      <c r="E17" s="145">
        <v>16</v>
      </c>
    </row>
    <row r="18" spans="1:6" ht="12.75">
      <c r="A18" s="142">
        <v>2007</v>
      </c>
      <c r="B18" s="143">
        <v>39.5</v>
      </c>
      <c r="C18" s="143">
        <v>1.5</v>
      </c>
      <c r="D18" s="144">
        <v>0.01</v>
      </c>
      <c r="E18" s="145">
        <v>14</v>
      </c>
      <c r="F18" s="135"/>
    </row>
    <row r="19" spans="1:6" ht="12.75">
      <c r="A19" s="142">
        <v>2008</v>
      </c>
      <c r="B19" s="143">
        <v>40</v>
      </c>
      <c r="C19" s="143">
        <v>2</v>
      </c>
      <c r="D19" s="144">
        <v>0.015</v>
      </c>
      <c r="E19" s="145">
        <v>12</v>
      </c>
      <c r="F19" s="135"/>
    </row>
    <row r="20" spans="1:6" ht="12.75">
      <c r="A20" s="142">
        <v>2009</v>
      </c>
      <c r="B20" s="143">
        <v>40.25</v>
      </c>
      <c r="C20" s="143">
        <v>2.25</v>
      </c>
      <c r="D20" s="144">
        <v>0.02</v>
      </c>
      <c r="E20" s="145">
        <v>11</v>
      </c>
      <c r="F20" s="135"/>
    </row>
    <row r="21" spans="1:6" ht="12.75">
      <c r="A21" s="142">
        <v>2010</v>
      </c>
      <c r="B21" s="143">
        <v>40.5</v>
      </c>
      <c r="C21" s="143">
        <v>2.5</v>
      </c>
      <c r="D21" s="144">
        <v>0.025</v>
      </c>
      <c r="E21" s="145">
        <v>10</v>
      </c>
      <c r="F21" s="135"/>
    </row>
    <row r="22" spans="1:5" ht="12.75">
      <c r="A22" s="142">
        <v>2011</v>
      </c>
      <c r="B22" s="143">
        <v>40.75</v>
      </c>
      <c r="C22" s="143">
        <v>2.75</v>
      </c>
      <c r="D22" s="144">
        <v>0.03</v>
      </c>
      <c r="E22" s="145">
        <v>9</v>
      </c>
    </row>
    <row r="23" spans="1:5" ht="12.75">
      <c r="A23" s="142">
        <v>2012</v>
      </c>
      <c r="B23" s="143">
        <v>41</v>
      </c>
      <c r="C23" s="143">
        <v>3</v>
      </c>
      <c r="D23" s="144">
        <v>0.035</v>
      </c>
      <c r="E23" s="145">
        <v>8</v>
      </c>
    </row>
    <row r="24" spans="1:5" ht="12.75">
      <c r="A24" s="142">
        <v>2013</v>
      </c>
      <c r="B24" s="143">
        <v>41</v>
      </c>
      <c r="C24" s="143">
        <v>3.25</v>
      </c>
      <c r="D24" s="144">
        <v>0.04</v>
      </c>
      <c r="E24" s="145">
        <v>7</v>
      </c>
    </row>
    <row r="25" spans="1:5" ht="12.75">
      <c r="A25" s="142">
        <v>2014</v>
      </c>
      <c r="B25" s="143">
        <v>41</v>
      </c>
      <c r="C25" s="143">
        <v>3.5</v>
      </c>
      <c r="D25" s="144">
        <v>0.045</v>
      </c>
      <c r="E25" s="145">
        <v>6</v>
      </c>
    </row>
    <row r="26" spans="1:5" ht="12.75">
      <c r="A26" s="142">
        <v>2015</v>
      </c>
      <c r="B26" s="143">
        <v>41.25</v>
      </c>
      <c r="C26" s="143">
        <v>3.75</v>
      </c>
      <c r="D26" s="144">
        <v>0.05</v>
      </c>
      <c r="E26" s="145">
        <v>5</v>
      </c>
    </row>
    <row r="27" spans="1:5" ht="12.75">
      <c r="A27" s="142">
        <v>2016</v>
      </c>
      <c r="B27" s="143">
        <v>41.25</v>
      </c>
      <c r="C27" s="143">
        <v>4</v>
      </c>
      <c r="D27" s="144">
        <v>0.05</v>
      </c>
      <c r="E27" s="145">
        <v>4</v>
      </c>
    </row>
    <row r="28" spans="1:5" ht="12.75">
      <c r="A28" s="142">
        <v>2017</v>
      </c>
      <c r="B28" s="143">
        <v>41.5</v>
      </c>
      <c r="C28" s="143">
        <v>4.25</v>
      </c>
      <c r="D28" s="144">
        <v>0.05</v>
      </c>
      <c r="E28" s="145">
        <v>3</v>
      </c>
    </row>
    <row r="29" spans="1:5" ht="12.75">
      <c r="A29" s="142">
        <v>2018</v>
      </c>
      <c r="B29" s="143">
        <v>41.5</v>
      </c>
      <c r="C29" s="143">
        <v>4.5</v>
      </c>
      <c r="D29" s="144">
        <v>0.05</v>
      </c>
      <c r="E29" s="145">
        <v>2</v>
      </c>
    </row>
    <row r="30" spans="1:5" ht="12.75">
      <c r="A30" s="142">
        <v>2019</v>
      </c>
      <c r="B30" s="143">
        <v>41.5</v>
      </c>
      <c r="C30" s="143">
        <v>4.75</v>
      </c>
      <c r="D30" s="144">
        <v>0.05</v>
      </c>
      <c r="E30" s="145">
        <v>1</v>
      </c>
    </row>
    <row r="31" spans="1:5" ht="13.5" thickBot="1">
      <c r="A31" s="117">
        <v>2020</v>
      </c>
      <c r="B31" s="146">
        <v>41.75</v>
      </c>
      <c r="C31" s="146">
        <v>5</v>
      </c>
      <c r="D31" s="147">
        <v>0.05</v>
      </c>
      <c r="E31" s="148">
        <v>0</v>
      </c>
    </row>
    <row r="33" ht="13.5" thickBot="1">
      <c r="A33" s="112" t="s">
        <v>122</v>
      </c>
    </row>
    <row r="34" spans="1:7" ht="90" customHeight="1" thickBot="1">
      <c r="A34" s="149" t="s">
        <v>60</v>
      </c>
      <c r="B34" s="149" t="s">
        <v>61</v>
      </c>
      <c r="C34" s="149" t="s">
        <v>72</v>
      </c>
      <c r="D34" s="149" t="s">
        <v>63</v>
      </c>
      <c r="E34" s="149" t="s">
        <v>62</v>
      </c>
      <c r="F34" s="149" t="s">
        <v>64</v>
      </c>
      <c r="G34" s="149" t="s">
        <v>18</v>
      </c>
    </row>
    <row r="35" spans="2:7" ht="13.5" thickBot="1">
      <c r="B35" s="112" t="s">
        <v>117</v>
      </c>
      <c r="C35" s="112" t="s">
        <v>118</v>
      </c>
      <c r="D35" s="112" t="s">
        <v>119</v>
      </c>
      <c r="E35" s="112" t="s">
        <v>120</v>
      </c>
      <c r="F35" s="112" t="s">
        <v>121</v>
      </c>
      <c r="G35" s="112" t="s">
        <v>19</v>
      </c>
    </row>
    <row r="36" spans="1:7" ht="14.25">
      <c r="A36" s="150">
        <v>2003</v>
      </c>
      <c r="B36" s="151">
        <v>0.6</v>
      </c>
      <c r="C36" s="152">
        <v>216</v>
      </c>
      <c r="D36" s="153">
        <v>0.04</v>
      </c>
      <c r="E36" s="154">
        <v>25</v>
      </c>
      <c r="F36" s="153">
        <v>0</v>
      </c>
      <c r="G36" s="155">
        <v>99</v>
      </c>
    </row>
    <row r="37" spans="1:7" ht="15">
      <c r="A37" s="156">
        <v>2004</v>
      </c>
      <c r="B37" s="157">
        <v>0.597</v>
      </c>
      <c r="C37" s="158">
        <v>217</v>
      </c>
      <c r="D37" s="159">
        <v>0.038</v>
      </c>
      <c r="E37" s="160">
        <v>25.5</v>
      </c>
      <c r="F37" s="159">
        <v>0.0004</v>
      </c>
      <c r="G37" s="161">
        <v>5</v>
      </c>
    </row>
    <row r="38" spans="1:7" ht="15">
      <c r="A38" s="156">
        <v>2005</v>
      </c>
      <c r="B38" s="157">
        <v>0.594</v>
      </c>
      <c r="C38" s="158">
        <v>218</v>
      </c>
      <c r="D38" s="159">
        <v>0.036</v>
      </c>
      <c r="E38" s="160">
        <v>26</v>
      </c>
      <c r="F38" s="159">
        <v>0.0008</v>
      </c>
      <c r="G38" s="161">
        <v>4</v>
      </c>
    </row>
    <row r="39" spans="1:7" ht="15">
      <c r="A39" s="156">
        <v>2006</v>
      </c>
      <c r="B39" s="157">
        <v>0.591</v>
      </c>
      <c r="C39" s="158">
        <v>219</v>
      </c>
      <c r="D39" s="159">
        <v>0.033999999999999996</v>
      </c>
      <c r="E39" s="160">
        <v>26.5</v>
      </c>
      <c r="F39" s="162">
        <v>0.0013</v>
      </c>
      <c r="G39" s="161">
        <v>3</v>
      </c>
    </row>
    <row r="40" spans="1:7" ht="15">
      <c r="A40" s="156">
        <v>2007</v>
      </c>
      <c r="B40" s="157">
        <v>0.588</v>
      </c>
      <c r="C40" s="158">
        <v>220</v>
      </c>
      <c r="D40" s="159">
        <v>0.031999999999999994</v>
      </c>
      <c r="E40" s="160">
        <v>27</v>
      </c>
      <c r="F40" s="162">
        <v>0.0021</v>
      </c>
      <c r="G40" s="161">
        <v>2</v>
      </c>
    </row>
    <row r="41" spans="1:7" ht="15">
      <c r="A41" s="163">
        <v>2008</v>
      </c>
      <c r="B41" s="164">
        <v>0.585</v>
      </c>
      <c r="C41" s="165">
        <v>221</v>
      </c>
      <c r="D41" s="166">
        <v>0.031</v>
      </c>
      <c r="E41" s="167">
        <v>27.5</v>
      </c>
      <c r="F41" s="168">
        <v>0.0022</v>
      </c>
      <c r="G41" s="169">
        <v>1</v>
      </c>
    </row>
    <row r="42" spans="1:7" ht="15">
      <c r="A42" s="156">
        <v>2009</v>
      </c>
      <c r="B42" s="157">
        <v>0.582</v>
      </c>
      <c r="C42" s="158">
        <v>222</v>
      </c>
      <c r="D42" s="159">
        <v>0.03</v>
      </c>
      <c r="E42" s="160">
        <v>28</v>
      </c>
      <c r="F42" s="162">
        <v>0.0023</v>
      </c>
      <c r="G42" s="161">
        <v>0</v>
      </c>
    </row>
    <row r="43" spans="1:7" ht="15">
      <c r="A43" s="156">
        <v>2010</v>
      </c>
      <c r="B43" s="157">
        <v>0.579</v>
      </c>
      <c r="C43" s="158">
        <v>223</v>
      </c>
      <c r="D43" s="159">
        <v>0.0285</v>
      </c>
      <c r="E43" s="160">
        <v>28.5</v>
      </c>
      <c r="F43" s="162">
        <v>0.0031</v>
      </c>
      <c r="G43" s="161">
        <v>0</v>
      </c>
    </row>
    <row r="44" spans="1:7" ht="15">
      <c r="A44" s="156">
        <v>2011</v>
      </c>
      <c r="B44" s="157">
        <v>0.576</v>
      </c>
      <c r="C44" s="158">
        <v>224</v>
      </c>
      <c r="D44" s="159">
        <v>0.0275</v>
      </c>
      <c r="E44" s="160">
        <v>29</v>
      </c>
      <c r="F44" s="162">
        <v>0.0035</v>
      </c>
      <c r="G44" s="161">
        <v>0</v>
      </c>
    </row>
    <row r="45" spans="1:7" ht="15">
      <c r="A45" s="163">
        <v>2012</v>
      </c>
      <c r="B45" s="164">
        <v>0.575</v>
      </c>
      <c r="C45" s="165">
        <v>225</v>
      </c>
      <c r="D45" s="166">
        <v>0.0265</v>
      </c>
      <c r="E45" s="167">
        <v>29.5</v>
      </c>
      <c r="F45" s="168">
        <v>0.0038</v>
      </c>
      <c r="G45" s="169">
        <v>0</v>
      </c>
    </row>
    <row r="46" spans="1:7" ht="15">
      <c r="A46" s="156">
        <v>2013</v>
      </c>
      <c r="B46" s="162">
        <v>0.575</v>
      </c>
      <c r="C46" s="170">
        <v>227</v>
      </c>
      <c r="D46" s="162">
        <v>0.025</v>
      </c>
      <c r="E46" s="160">
        <v>30</v>
      </c>
      <c r="F46" s="162">
        <v>0.005</v>
      </c>
      <c r="G46" s="161">
        <v>0</v>
      </c>
    </row>
    <row r="47" spans="1:7" ht="15">
      <c r="A47" s="156">
        <v>2014</v>
      </c>
      <c r="B47" s="162">
        <v>0.575</v>
      </c>
      <c r="C47" s="170">
        <v>227</v>
      </c>
      <c r="D47" s="162">
        <v>0.025</v>
      </c>
      <c r="E47" s="160">
        <v>30</v>
      </c>
      <c r="F47" s="162">
        <v>0.005</v>
      </c>
      <c r="G47" s="161">
        <v>0</v>
      </c>
    </row>
    <row r="48" spans="1:7" ht="15">
      <c r="A48" s="163">
        <v>2015</v>
      </c>
      <c r="B48" s="168">
        <v>0.575</v>
      </c>
      <c r="C48" s="171">
        <v>227</v>
      </c>
      <c r="D48" s="168">
        <v>0.025</v>
      </c>
      <c r="E48" s="167">
        <v>30</v>
      </c>
      <c r="F48" s="168">
        <v>0.005</v>
      </c>
      <c r="G48" s="169">
        <v>0</v>
      </c>
    </row>
    <row r="49" spans="1:7" ht="15">
      <c r="A49" s="156">
        <v>2016</v>
      </c>
      <c r="B49" s="162">
        <v>0.575</v>
      </c>
      <c r="C49" s="170">
        <v>227</v>
      </c>
      <c r="D49" s="162">
        <v>0.025</v>
      </c>
      <c r="E49" s="160">
        <v>30</v>
      </c>
      <c r="F49" s="162">
        <v>0.005</v>
      </c>
      <c r="G49" s="161">
        <v>0</v>
      </c>
    </row>
    <row r="50" spans="1:7" ht="15">
      <c r="A50" s="156">
        <v>2017</v>
      </c>
      <c r="B50" s="162">
        <v>0.575</v>
      </c>
      <c r="C50" s="170">
        <v>227</v>
      </c>
      <c r="D50" s="162">
        <v>0.025</v>
      </c>
      <c r="E50" s="160">
        <v>30</v>
      </c>
      <c r="F50" s="162">
        <v>0.005</v>
      </c>
      <c r="G50" s="161">
        <v>0</v>
      </c>
    </row>
    <row r="51" spans="1:7" ht="15">
      <c r="A51" s="156">
        <v>2018</v>
      </c>
      <c r="B51" s="162">
        <v>0.575</v>
      </c>
      <c r="C51" s="170">
        <v>227</v>
      </c>
      <c r="D51" s="162">
        <v>0.025</v>
      </c>
      <c r="E51" s="160">
        <v>30</v>
      </c>
      <c r="F51" s="162">
        <v>0.005</v>
      </c>
      <c r="G51" s="161">
        <v>0</v>
      </c>
    </row>
    <row r="52" spans="1:7" ht="15">
      <c r="A52" s="156">
        <v>2019</v>
      </c>
      <c r="B52" s="162">
        <v>0.575</v>
      </c>
      <c r="C52" s="170">
        <v>227</v>
      </c>
      <c r="D52" s="162">
        <v>0.025</v>
      </c>
      <c r="E52" s="160">
        <v>30</v>
      </c>
      <c r="F52" s="162">
        <v>0.005</v>
      </c>
      <c r="G52" s="161">
        <v>0</v>
      </c>
    </row>
    <row r="53" spans="1:7" ht="15">
      <c r="A53" s="163">
        <v>2020</v>
      </c>
      <c r="B53" s="168">
        <v>0.575</v>
      </c>
      <c r="C53" s="171">
        <v>227</v>
      </c>
      <c r="D53" s="168">
        <v>0.025</v>
      </c>
      <c r="E53" s="167">
        <v>30</v>
      </c>
      <c r="F53" s="168">
        <v>0.005</v>
      </c>
      <c r="G53" s="169">
        <v>0</v>
      </c>
    </row>
    <row r="54" spans="1:7" ht="15">
      <c r="A54" s="156">
        <v>2021</v>
      </c>
      <c r="B54" s="162">
        <v>0.575</v>
      </c>
      <c r="C54" s="170">
        <v>227</v>
      </c>
      <c r="D54" s="162">
        <v>0.025</v>
      </c>
      <c r="E54" s="160">
        <v>30</v>
      </c>
      <c r="F54" s="162">
        <v>0.005</v>
      </c>
      <c r="G54" s="161">
        <v>0</v>
      </c>
    </row>
    <row r="55" spans="1:7" ht="15">
      <c r="A55" s="156">
        <v>2022</v>
      </c>
      <c r="B55" s="162">
        <v>0.575</v>
      </c>
      <c r="C55" s="170">
        <v>227</v>
      </c>
      <c r="D55" s="162">
        <v>0.025</v>
      </c>
      <c r="E55" s="160">
        <v>30</v>
      </c>
      <c r="F55" s="162">
        <v>0.005</v>
      </c>
      <c r="G55" s="161">
        <v>0</v>
      </c>
    </row>
    <row r="56" spans="1:7" ht="15">
      <c r="A56" s="156">
        <v>2023</v>
      </c>
      <c r="B56" s="162">
        <v>0.575</v>
      </c>
      <c r="C56" s="170">
        <v>227</v>
      </c>
      <c r="D56" s="162">
        <v>0.025</v>
      </c>
      <c r="E56" s="160">
        <v>30</v>
      </c>
      <c r="F56" s="162">
        <v>0.005</v>
      </c>
      <c r="G56" s="161">
        <v>0</v>
      </c>
    </row>
    <row r="57" spans="1:7" ht="15">
      <c r="A57" s="156">
        <v>2024</v>
      </c>
      <c r="B57" s="162">
        <v>0.575</v>
      </c>
      <c r="C57" s="170">
        <v>227</v>
      </c>
      <c r="D57" s="162">
        <v>0.025</v>
      </c>
      <c r="E57" s="160">
        <v>30</v>
      </c>
      <c r="F57" s="162">
        <v>0.005</v>
      </c>
      <c r="G57" s="161">
        <v>0</v>
      </c>
    </row>
    <row r="58" spans="1:7" ht="15">
      <c r="A58" s="163">
        <v>2025</v>
      </c>
      <c r="B58" s="168">
        <v>0.575</v>
      </c>
      <c r="C58" s="171">
        <v>227</v>
      </c>
      <c r="D58" s="168">
        <v>0.025</v>
      </c>
      <c r="E58" s="167">
        <v>30</v>
      </c>
      <c r="F58" s="168">
        <v>0.005</v>
      </c>
      <c r="G58" s="169">
        <v>0</v>
      </c>
    </row>
    <row r="59" spans="1:7" ht="15">
      <c r="A59" s="156">
        <v>2026</v>
      </c>
      <c r="B59" s="162">
        <v>0.575</v>
      </c>
      <c r="C59" s="170">
        <v>227</v>
      </c>
      <c r="D59" s="162">
        <v>0.025</v>
      </c>
      <c r="E59" s="160">
        <v>30</v>
      </c>
      <c r="F59" s="162">
        <v>0.005</v>
      </c>
      <c r="G59" s="161">
        <v>0</v>
      </c>
    </row>
    <row r="60" spans="1:7" ht="15">
      <c r="A60" s="156">
        <v>2027</v>
      </c>
      <c r="B60" s="162">
        <v>0.575</v>
      </c>
      <c r="C60" s="170">
        <v>227</v>
      </c>
      <c r="D60" s="162">
        <v>0.025</v>
      </c>
      <c r="E60" s="160">
        <v>30</v>
      </c>
      <c r="F60" s="162">
        <v>0.005</v>
      </c>
      <c r="G60" s="161">
        <v>0</v>
      </c>
    </row>
    <row r="61" spans="1:7" ht="15">
      <c r="A61" s="156">
        <v>2028</v>
      </c>
      <c r="B61" s="162">
        <v>0.575</v>
      </c>
      <c r="C61" s="170">
        <v>227</v>
      </c>
      <c r="D61" s="162">
        <v>0.025</v>
      </c>
      <c r="E61" s="160">
        <v>30</v>
      </c>
      <c r="F61" s="162">
        <v>0.005</v>
      </c>
      <c r="G61" s="161">
        <v>0</v>
      </c>
    </row>
    <row r="62" spans="1:7" ht="15">
      <c r="A62" s="156">
        <v>2029</v>
      </c>
      <c r="B62" s="162">
        <v>0.575</v>
      </c>
      <c r="C62" s="170">
        <v>227</v>
      </c>
      <c r="D62" s="162">
        <v>0.025</v>
      </c>
      <c r="E62" s="160">
        <v>30</v>
      </c>
      <c r="F62" s="162">
        <v>0.005</v>
      </c>
      <c r="G62" s="161">
        <v>0</v>
      </c>
    </row>
    <row r="63" spans="1:7" ht="15.75" thickBot="1">
      <c r="A63" s="172">
        <v>2030</v>
      </c>
      <c r="B63" s="173">
        <v>0.575</v>
      </c>
      <c r="C63" s="174">
        <v>227</v>
      </c>
      <c r="D63" s="173">
        <v>0.025</v>
      </c>
      <c r="E63" s="175">
        <v>30</v>
      </c>
      <c r="F63" s="173">
        <v>0.005</v>
      </c>
      <c r="G63" s="176">
        <v>0</v>
      </c>
    </row>
    <row r="64" spans="1:6" ht="14.25">
      <c r="A64" s="177"/>
      <c r="B64" s="178"/>
      <c r="C64" s="179"/>
      <c r="D64" s="180"/>
      <c r="E64" s="181"/>
      <c r="F64" s="180"/>
    </row>
    <row r="68" ht="13.5" thickBot="1"/>
    <row r="69" ht="12.75">
      <c r="A69" s="182" t="s">
        <v>90</v>
      </c>
    </row>
    <row r="70" ht="12.75">
      <c r="A70" s="183" t="s">
        <v>78</v>
      </c>
    </row>
    <row r="71" ht="12.75">
      <c r="A71" s="183" t="s">
        <v>79</v>
      </c>
    </row>
    <row r="72" ht="12.75">
      <c r="A72" s="183" t="s">
        <v>80</v>
      </c>
    </row>
    <row r="73" ht="12.75">
      <c r="A73" s="183" t="s">
        <v>81</v>
      </c>
    </row>
    <row r="74" ht="12.75">
      <c r="A74" s="183" t="s">
        <v>82</v>
      </c>
    </row>
    <row r="75" ht="12.75">
      <c r="A75" s="183" t="s">
        <v>83</v>
      </c>
    </row>
    <row r="76" ht="12.75">
      <c r="A76" s="183" t="s">
        <v>84</v>
      </c>
    </row>
    <row r="77" ht="12.75">
      <c r="A77" s="183" t="s">
        <v>85</v>
      </c>
    </row>
    <row r="78" ht="12.75">
      <c r="A78" s="183" t="s">
        <v>86</v>
      </c>
    </row>
    <row r="79" ht="12.75">
      <c r="A79" s="183" t="s">
        <v>87</v>
      </c>
    </row>
    <row r="80" ht="12.75">
      <c r="A80" s="183" t="s">
        <v>88</v>
      </c>
    </row>
    <row r="81" ht="13.5" thickBot="1">
      <c r="A81" s="184" t="s">
        <v>89</v>
      </c>
    </row>
    <row r="82" ht="12.75">
      <c r="A82" s="135"/>
    </row>
    <row r="83" spans="1:5" ht="13.5" thickBot="1">
      <c r="A83" s="112" t="s">
        <v>122</v>
      </c>
      <c r="E83" s="112"/>
    </row>
    <row r="84" spans="1:6" ht="13.5" thickBot="1">
      <c r="A84" s="185" t="s">
        <v>45</v>
      </c>
      <c r="B84" s="186"/>
      <c r="C84" s="186"/>
      <c r="D84" s="186"/>
      <c r="E84" s="187"/>
      <c r="F84" s="187"/>
    </row>
    <row r="85" spans="1:7" ht="63.75">
      <c r="A85" s="188" t="s">
        <v>46</v>
      </c>
      <c r="B85" s="121" t="s">
        <v>41</v>
      </c>
      <c r="C85" s="121" t="s">
        <v>38</v>
      </c>
      <c r="D85" s="121" t="s">
        <v>216</v>
      </c>
      <c r="E85" s="189" t="s">
        <v>234</v>
      </c>
      <c r="F85" s="190" t="s">
        <v>219</v>
      </c>
      <c r="G85" s="189" t="s">
        <v>312</v>
      </c>
    </row>
    <row r="86" spans="1:7" ht="12.75">
      <c r="A86" s="142" t="s">
        <v>47</v>
      </c>
      <c r="B86" s="135">
        <v>60</v>
      </c>
      <c r="C86" s="135">
        <f>B86+5</f>
        <v>65</v>
      </c>
      <c r="D86" s="135" t="b">
        <v>0</v>
      </c>
      <c r="E86" s="187">
        <v>10</v>
      </c>
      <c r="F86" s="191" t="s">
        <v>31</v>
      </c>
      <c r="G86" s="191" t="s">
        <v>314</v>
      </c>
    </row>
    <row r="87" spans="1:7" ht="12.75">
      <c r="A87" s="142" t="s">
        <v>307</v>
      </c>
      <c r="B87" s="135">
        <v>55</v>
      </c>
      <c r="C87" s="135">
        <v>65</v>
      </c>
      <c r="D87" s="135" t="b">
        <v>0</v>
      </c>
      <c r="E87" s="187">
        <v>20</v>
      </c>
      <c r="F87" s="191" t="s">
        <v>319</v>
      </c>
      <c r="G87" s="191" t="s">
        <v>16</v>
      </c>
    </row>
    <row r="88" spans="1:7" ht="12.75">
      <c r="A88" s="142" t="s">
        <v>143</v>
      </c>
      <c r="B88" s="135">
        <v>55</v>
      </c>
      <c r="C88" s="135">
        <f>B88+5</f>
        <v>60</v>
      </c>
      <c r="D88" s="135" t="b">
        <v>0</v>
      </c>
      <c r="E88" s="187">
        <v>10</v>
      </c>
      <c r="F88" s="191" t="s">
        <v>32</v>
      </c>
      <c r="G88" s="191" t="s">
        <v>314</v>
      </c>
    </row>
    <row r="89" spans="1:7" ht="12.75">
      <c r="A89" s="142" t="s">
        <v>48</v>
      </c>
      <c r="B89" s="135">
        <v>55</v>
      </c>
      <c r="C89" s="135">
        <f>B89+5</f>
        <v>60</v>
      </c>
      <c r="D89" s="135" t="b">
        <v>1</v>
      </c>
      <c r="E89" s="187">
        <v>10</v>
      </c>
      <c r="F89" s="191" t="s">
        <v>33</v>
      </c>
      <c r="G89" s="191" t="s">
        <v>314</v>
      </c>
    </row>
    <row r="90" spans="1:7" ht="12.75">
      <c r="A90" s="142" t="s">
        <v>49</v>
      </c>
      <c r="B90" s="135">
        <v>50</v>
      </c>
      <c r="C90" s="135">
        <f>B90+5</f>
        <v>55</v>
      </c>
      <c r="D90" s="135" t="b">
        <v>0</v>
      </c>
      <c r="E90" s="111">
        <v>10</v>
      </c>
      <c r="F90" s="191" t="s">
        <v>34</v>
      </c>
      <c r="G90" s="191" t="s">
        <v>313</v>
      </c>
    </row>
    <row r="91" spans="1:7" ht="13.5" thickBot="1">
      <c r="A91" s="117" t="s">
        <v>144</v>
      </c>
      <c r="B91" s="192">
        <v>60</v>
      </c>
      <c r="C91" s="192">
        <v>65</v>
      </c>
      <c r="D91" s="192" t="b">
        <v>0</v>
      </c>
      <c r="E91" s="193">
        <v>10</v>
      </c>
      <c r="F91" s="194" t="s">
        <v>220</v>
      </c>
      <c r="G91" s="194"/>
    </row>
    <row r="92" ht="13.5" thickBot="1">
      <c r="E92" s="112"/>
    </row>
    <row r="93" spans="1:2" ht="12.75">
      <c r="A93" s="188" t="s">
        <v>227</v>
      </c>
      <c r="B93" s="195"/>
    </row>
    <row r="94" spans="1:2" ht="12.75">
      <c r="A94" s="196">
        <v>0.5</v>
      </c>
      <c r="B94" s="197"/>
    </row>
    <row r="95" spans="1:2" ht="12.75">
      <c r="A95" s="196">
        <v>0.6</v>
      </c>
      <c r="B95" s="197"/>
    </row>
    <row r="96" spans="1:2" ht="12.75">
      <c r="A96" s="196">
        <v>0.7</v>
      </c>
      <c r="B96" s="197"/>
    </row>
    <row r="97" spans="1:2" ht="12.75">
      <c r="A97" s="196">
        <v>0.8</v>
      </c>
      <c r="B97" s="197"/>
    </row>
    <row r="98" spans="1:2" ht="13.5" thickBot="1">
      <c r="A98" s="198">
        <v>0.9</v>
      </c>
      <c r="B98" s="199"/>
    </row>
  </sheetData>
  <sheetProtection password="DFC5" sheet="1" objects="1" scenarios="1"/>
  <printOptions horizontalCentered="1"/>
  <pageMargins left="0.787401575" right="0.787401575" top="0.984251969" bottom="0.984251969" header="0.4921259845" footer="0.4921259845"/>
  <pageSetup horizontalDpi="600" verticalDpi="600" orientation="portrait" paperSize="9" r:id="rId1"/>
  <headerFooter alignWithMargins="0">
    <oddFooter>&amp;R&amp;"Arial"&amp;8COR  FL &amp;F &amp;A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FPRE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Simulateur retraite Fonction Publique</dc:title>
  <dc:subject/>
  <dc:creator>FL</dc:creator>
  <cp:keywords/>
  <dc:description/>
  <cp:lastModifiedBy>Alain SIGAYRET</cp:lastModifiedBy>
  <cp:lastPrinted>2003-06-12T17:45:14Z</cp:lastPrinted>
  <dcterms:created xsi:type="dcterms:W3CDTF">2003-04-15T14:57:06Z</dcterms:created>
  <dcterms:modified xsi:type="dcterms:W3CDTF">2017-02-07T12:19:49Z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